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524" windowWidth="9936" windowHeight="9492" tabRatio="766" activeTab="0"/>
  </bookViews>
  <sheets>
    <sheet name="F1-Y791197" sheetId="1" r:id="rId1"/>
    <sheet name="F2-ALH A81005" sheetId="2" r:id="rId2"/>
    <sheet name="F3-Y86032" sheetId="3" r:id="rId3"/>
    <sheet name="F4-MAC 88104 88105" sheetId="4" r:id="rId4"/>
    <sheet name="F5-QUE93069 94269" sheetId="5" r:id="rId5"/>
    <sheet name="F6-DaG262 996" sheetId="6" r:id="rId6"/>
    <sheet name="F7-DaG400" sheetId="7" r:id="rId7"/>
    <sheet name="F8-Dho 081" sheetId="8" r:id="rId8"/>
    <sheet name="F9-Dho025 301 304 308" sheetId="9" r:id="rId9"/>
    <sheet name="F10-Dho 026 (+12)" sheetId="10" r:id="rId10"/>
    <sheet name="F11-NWA 482" sheetId="11" r:id="rId11"/>
    <sheet name="F12-Dho302" sheetId="12" r:id="rId12"/>
    <sheet name="F13-Dho303 (+14)" sheetId="13" r:id="rId13"/>
    <sheet name="F14-Dho 490 1084" sheetId="14" r:id="rId14"/>
    <sheet name="F15-Dho733" sheetId="15" r:id="rId15"/>
    <sheet name="F16-NEA001" sheetId="16" r:id="rId16"/>
    <sheet name="F17-PCA02007" sheetId="17" r:id="rId17"/>
    <sheet name="F18-NWA 2200" sheetId="18" r:id="rId18"/>
    <sheet name="F19-NWA3163" sheetId="19" r:id="rId19"/>
    <sheet name="F20-Dho 1428" sheetId="20" r:id="rId20"/>
    <sheet name="F21-Dho 1436, 1443" sheetId="21" r:id="rId21"/>
    <sheet name="F22-NWA2998" sheetId="22" r:id="rId22"/>
    <sheet name="F23-GRA 06157" sheetId="23" r:id="rId23"/>
    <sheet name="F24-LAR 06638" sheetId="24" r:id="rId24"/>
    <sheet name="F25-NWA 5000" sheetId="25" r:id="rId25"/>
    <sheet name="F26-NWA 4936, 5406" sheetId="26" r:id="rId26"/>
    <sheet name="F27-SaU 449" sheetId="27" r:id="rId27"/>
    <sheet name="F28-SaU300" sheetId="28" r:id="rId28"/>
    <sheet name="F29-NWA 4932" sheetId="29" r:id="rId29"/>
    <sheet name="F30-MIL 07006" sheetId="30" r:id="rId30"/>
    <sheet name="F31-Shisr 160" sheetId="31" r:id="rId31"/>
    <sheet name="F32-Shisr 161" sheetId="32" r:id="rId32"/>
    <sheet name="F33-NWA 5744" sheetId="33" r:id="rId33"/>
    <sheet name="F34-JaH 348" sheetId="34" r:id="rId34"/>
  </sheets>
  <definedNames>
    <definedName name="_xlnm.Print_Area" localSheetId="0">'F1-Y791197'!$A$1:$E$88</definedName>
    <definedName name="_xlnm.Print_Area" localSheetId="2">'F3-Y86032'!$A$1:$P$88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<sst xmlns="http://schemas.openxmlformats.org/spreadsheetml/2006/main" count="3165" uniqueCount="331">
  <si>
    <t>1) Palme et al. (1983); 2) Verkouteren et al. (1983); 3) Laul et al. (1983); 4) Korotev et al. (1983); 5) Warren et al. (1983); 6) Boynton et al. (1983)</t>
  </si>
  <si>
    <t>-</t>
  </si>
  <si>
    <t>&lt;300</t>
  </si>
  <si>
    <t>&lt;5</t>
  </si>
  <si>
    <t>&lt;700</t>
  </si>
  <si>
    <t>Table 1: Chemical composition of Dho 026</t>
  </si>
  <si>
    <t>Table 1b.  Light and/or volatile elements for Dho 026</t>
  </si>
  <si>
    <t>a,e,g</t>
  </si>
  <si>
    <t>wm</t>
  </si>
  <si>
    <t>&lt;0.15</t>
  </si>
  <si>
    <t>&lt;0.26</t>
  </si>
  <si>
    <t>&lt;0.16</t>
  </si>
  <si>
    <t>&lt;0.36</t>
  </si>
  <si>
    <t>&lt;0.21</t>
  </si>
  <si>
    <t>&lt;0.34</t>
  </si>
  <si>
    <t>&lt;150</t>
  </si>
  <si>
    <t>&lt;170</t>
  </si>
  <si>
    <t>&lt;40</t>
  </si>
  <si>
    <t>&lt;.120</t>
  </si>
  <si>
    <t>&lt;1.34</t>
  </si>
  <si>
    <t>&lt;0.13</t>
  </si>
  <si>
    <t>&lt;0.11</t>
  </si>
  <si>
    <t>Table 1: Chemical composition of Dho 302</t>
  </si>
  <si>
    <t>Table 1b.  Light and/or volatile elements for Dho 302</t>
  </si>
  <si>
    <t>Table 1: Chemical composition of NWA 2998</t>
  </si>
  <si>
    <t>Table 1b.  Light and/or volatile elements for NWA 2998</t>
  </si>
  <si>
    <t>Table 1: Chemical composition of Dho 1428</t>
  </si>
  <si>
    <t>Table 1b.  Light and/or volatile elements for Dho 1428</t>
  </si>
  <si>
    <t>Table 1: Chemical composition of NWA 2200</t>
  </si>
  <si>
    <t>Table 1b.  Light and/or volatile elements for NWA 2200</t>
  </si>
  <si>
    <t>Table 1: Chemical composition of NEA 001</t>
  </si>
  <si>
    <t>Table 1b.  Light and/or volatile elements for Nea 001</t>
  </si>
  <si>
    <t>Table 1: Chemical composition of Dho 733</t>
  </si>
  <si>
    <t>Table 1b.  Light and/or volatile elements for Dho 733</t>
  </si>
  <si>
    <t>Table 1: Chemical composition of Dho 490, 1084</t>
  </si>
  <si>
    <t>Table 1b.  Light and/or volatile elements for Dho 490, 1084</t>
  </si>
  <si>
    <t>&lt;800</t>
  </si>
  <si>
    <t>a,b</t>
  </si>
  <si>
    <t>An clast</t>
  </si>
  <si>
    <t>Table 1: Chemical composition of Dho 489 (paired with 303)</t>
  </si>
  <si>
    <t>Table 1b.  Light and/or volatile elements for Dho 489 (paired with 303)</t>
  </si>
  <si>
    <t>1) Taylor et al. (2004); Joy et al. (2006); 3) Zeigler et al. (2004); 4) Korotev et al. (2006)</t>
  </si>
  <si>
    <t>technique  (a) ICP-AES, (b) ICP-MS, (c ) IDMS, (d) FB-EMPA, (e) INAA, (f) RNAA</t>
  </si>
  <si>
    <t>b,d</t>
  </si>
  <si>
    <t>a,b,e</t>
  </si>
  <si>
    <t>d,e</t>
  </si>
  <si>
    <t>&lt;0.048</t>
  </si>
  <si>
    <t>&lt;0.019</t>
  </si>
  <si>
    <t>1) Koeberl et al. (1989); 2) Warren and Kallmeyn (1987); 3) Lindstrom et al. (1991); 4) Eugster et al. (1989); 5) Koeberl  (1988);  6) Bischoff et al. (1987); 7) Fukuoka et al. (1986); 8) Karouji et al. (2004)</t>
  </si>
  <si>
    <t>DG</t>
  </si>
  <si>
    <r>
      <t>SiO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%</t>
    </r>
  </si>
  <si>
    <r>
      <t>TiO</t>
    </r>
    <r>
      <rPr>
        <vertAlign val="subscript"/>
        <sz val="11"/>
        <rFont val="Times New Roman"/>
        <family val="1"/>
      </rPr>
      <t>2</t>
    </r>
  </si>
  <si>
    <r>
      <t>Al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</si>
  <si>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r>
      <t>Na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</si>
  <si>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</si>
  <si>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</si>
  <si>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</si>
  <si>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</si>
  <si>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</si>
  <si>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</si>
  <si>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t>5r</t>
  </si>
  <si>
    <t>Table 2: Chemical composition of QUE93069, QUE94269</t>
  </si>
  <si>
    <t>references: 1) = Koeberl et al., 1996; 2 = Lindstrom, M. et al., 1995; 3 = Korotev et al., 1996</t>
  </si>
  <si>
    <t>Table 1: Chemical composition of NWA 482</t>
  </si>
  <si>
    <t>Table 1b.  Light and/or volatile elements for NWA482</t>
  </si>
  <si>
    <t>&lt;29</t>
  </si>
  <si>
    <t>&lt;6</t>
  </si>
  <si>
    <t>&lt;0.052</t>
  </si>
  <si>
    <t>Table 1.  Chemical composition of PCA 02007</t>
  </si>
  <si>
    <t>Table 2b.  Light and/or volatile elements for PCA 02007</t>
  </si>
  <si>
    <t>avg.</t>
  </si>
  <si>
    <t>&lt;4</t>
  </si>
  <si>
    <t>&lt;600</t>
  </si>
  <si>
    <t>Table 1: Chemical composition of DaG 262 and 996</t>
  </si>
  <si>
    <t>Table 1b.  Light and/or volatile elements for DaG 262 and 996</t>
  </si>
  <si>
    <t>&lt;70</t>
  </si>
  <si>
    <t>&lt;0.120</t>
  </si>
  <si>
    <t>References: 1) Warren et al. (2005); 2) Bischoff et al. (1998); 3) Korotev et al. (2003)</t>
  </si>
  <si>
    <t>g</t>
  </si>
  <si>
    <t>&lt;0.4</t>
  </si>
  <si>
    <t>&lt;3</t>
  </si>
  <si>
    <t>technique  (a) ICP-AES, (b) ICP-MS, (c ) IDMS, (d) FB-EMPA, (e) INAA, (f) RNAA, (g) XRF</t>
  </si>
  <si>
    <t>d</t>
  </si>
  <si>
    <t>&lt;1000</t>
  </si>
  <si>
    <t>Table 1a.  Chemical composition of MAC 88105</t>
  </si>
  <si>
    <t>Table 1b.  Light and/or volatile elements for MAC 88105</t>
  </si>
  <si>
    <t>Table 3b.  Light and/or volatile elements for Yamato 86032, 82192, 82193</t>
  </si>
  <si>
    <t>Table 3a.  Chemical composition of Yamato 86032, 82192, 82193</t>
  </si>
  <si>
    <t>Table 2b.  Light and/or volatile elements for</t>
  </si>
  <si>
    <t>Table 1: Chemical composition of DaG 400</t>
  </si>
  <si>
    <t>Table 1b.  Light and/or volatile elements for DaG 400</t>
  </si>
  <si>
    <t>&lt;24</t>
  </si>
  <si>
    <t>Table 1: Chemical composition of Dho 081</t>
  </si>
  <si>
    <t>Table 1b.  Light and/or volatile elements for Dho 081</t>
  </si>
  <si>
    <t>References: 1) Warren et al. (2005); 2) Zipfel et al. (1998); 3) Korotev et al. (2003); 4) Semanova et al. (2000); 5) Joy et al. (2006)</t>
  </si>
  <si>
    <t>&lt;0.06</t>
  </si>
  <si>
    <t>&lt;7</t>
  </si>
  <si>
    <t>&lt;0.89</t>
  </si>
  <si>
    <t>Table 1: Chemical composition of Dho 025</t>
  </si>
  <si>
    <t>Table 1b.  Light and/or volatile elements for Dho 025</t>
  </si>
  <si>
    <t>&lt;0.02</t>
  </si>
  <si>
    <t>b,e,g</t>
  </si>
  <si>
    <t>&lt;0.3</t>
  </si>
  <si>
    <t>reference</t>
  </si>
  <si>
    <t>weight</t>
  </si>
  <si>
    <t>FeO</t>
  </si>
  <si>
    <t>MnO</t>
  </si>
  <si>
    <t>CaO</t>
  </si>
  <si>
    <t>MgO</t>
  </si>
  <si>
    <t>sum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</si>
  <si>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</si>
  <si>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</si>
  <si>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</si>
  <si>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</si>
  <si>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</si>
  <si>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</si>
  <si>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</si>
  <si>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</si>
  <si>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</si>
  <si>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Se</t>
  </si>
  <si>
    <t>Rb</t>
  </si>
  <si>
    <t>Sr</t>
  </si>
  <si>
    <t>Y</t>
  </si>
  <si>
    <t>Zr</t>
  </si>
  <si>
    <t>Nb</t>
  </si>
  <si>
    <t>Mo</t>
  </si>
  <si>
    <t>Pd ppb</t>
  </si>
  <si>
    <t>Ag ppb</t>
  </si>
  <si>
    <t>Cd ppb</t>
  </si>
  <si>
    <t>In ppb</t>
  </si>
  <si>
    <t>Sb ppb</t>
  </si>
  <si>
    <t>Te ppb</t>
  </si>
  <si>
    <t>Cs ppm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</si>
  <si>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</si>
  <si>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</si>
  <si>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</si>
  <si>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</si>
  <si>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</si>
  <si>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</si>
  <si>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</si>
  <si>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</si>
  <si>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</si>
  <si>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</si>
  <si>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</si>
  <si>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</si>
  <si>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</si>
  <si>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</si>
  <si>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</si>
  <si>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</si>
  <si>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</si>
  <si>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 ppb</t>
  </si>
  <si>
    <t>Re ppb</t>
  </si>
  <si>
    <t>Os ppb</t>
  </si>
  <si>
    <t>Ir ppb</t>
  </si>
  <si>
    <t>Au ppb</t>
  </si>
  <si>
    <t>Th ppm</t>
  </si>
  <si>
    <t>U ppm</t>
  </si>
  <si>
    <t>TiO2</t>
  </si>
  <si>
    <t>Al2O3</t>
  </si>
  <si>
    <t>Na2O</t>
  </si>
  <si>
    <t>K2O</t>
  </si>
  <si>
    <t>P2O5</t>
  </si>
  <si>
    <t>SiO2 %</t>
  </si>
  <si>
    <t>Sc ppm</t>
  </si>
  <si>
    <t>Sn ppb</t>
  </si>
  <si>
    <t xml:space="preserve"> </t>
  </si>
  <si>
    <t>Pt ppb</t>
  </si>
  <si>
    <t>Ru</t>
  </si>
  <si>
    <t>Rh</t>
  </si>
  <si>
    <t>Be</t>
  </si>
  <si>
    <t>C</t>
  </si>
  <si>
    <t>S</t>
  </si>
  <si>
    <t>Cl</t>
  </si>
  <si>
    <t>I</t>
  </si>
  <si>
    <t>Li ppm</t>
  </si>
  <si>
    <t>Br</t>
  </si>
  <si>
    <t>F ppm</t>
  </si>
  <si>
    <t>Bi</t>
  </si>
  <si>
    <t>Tl</t>
  </si>
  <si>
    <t>Pb ppm</t>
  </si>
  <si>
    <t>Hg ppb</t>
  </si>
  <si>
    <t>S %</t>
  </si>
  <si>
    <t>&lt;2</t>
  </si>
  <si>
    <t>Table 1a.  Chemical composition of Yamato 791197</t>
  </si>
  <si>
    <t>Table 1b.  Light and/or volatile elements for Yamato 791197</t>
  </si>
  <si>
    <t>.</t>
  </si>
  <si>
    <t>"37"</t>
  </si>
  <si>
    <t>"173"</t>
  </si>
  <si>
    <t>"1940"</t>
  </si>
  <si>
    <t>&lt;0.5</t>
  </si>
  <si>
    <t>&lt;10</t>
  </si>
  <si>
    <t>&lt;100</t>
  </si>
  <si>
    <t>&lt;0.1</t>
  </si>
  <si>
    <t>&lt;0.08</t>
  </si>
  <si>
    <t>split</t>
  </si>
  <si>
    <t>,84</t>
  </si>
  <si>
    <t>,78</t>
  </si>
  <si>
    <t>,75/6</t>
  </si>
  <si>
    <t>,64</t>
  </si>
  <si>
    <t>,86</t>
  </si>
  <si>
    <t>&lt;0.01</t>
  </si>
  <si>
    <t>&lt;1</t>
  </si>
  <si>
    <t>&lt;80</t>
  </si>
  <si>
    <t>&lt;50</t>
  </si>
  <si>
    <t>&lt;15</t>
  </si>
  <si>
    <t>&lt;0.14</t>
  </si>
  <si>
    <t>&lt;0.05</t>
  </si>
  <si>
    <t>technique  (a) ICP-AES, (b) ICP-MS, (c ) IDMS, (d) Ar, (e) INAA, (f) RNAA</t>
  </si>
  <si>
    <t>&lt;30</t>
  </si>
  <si>
    <t>&lt;0.2</t>
  </si>
  <si>
    <t>&lt;0.07</t>
  </si>
  <si>
    <t>Table 2.  Chemical composition of ALHA 81005</t>
  </si>
  <si>
    <t>avg. of 7</t>
  </si>
  <si>
    <t>A</t>
  </si>
  <si>
    <t>B</t>
  </si>
  <si>
    <t>e</t>
  </si>
  <si>
    <t>f</t>
  </si>
  <si>
    <t>&lt;0.04</t>
  </si>
  <si>
    <t>&lt;0.6</t>
  </si>
  <si>
    <t>&lt;.6</t>
  </si>
  <si>
    <t>&lt;1.5</t>
  </si>
  <si>
    <t>&lt; 6</t>
  </si>
  <si>
    <t>&lt;20</t>
  </si>
  <si>
    <t>&lt;130</t>
  </si>
  <si>
    <t>e, g</t>
  </si>
  <si>
    <t>&lt;34</t>
  </si>
  <si>
    <t>&lt;60</t>
  </si>
  <si>
    <t>technique  (a) ICP-AES, (b) ICP-MS, (c ) IDMS, (d) Ar, (e) INAA, (f) RNAA, (g) SSMS</t>
  </si>
  <si>
    <t>&lt;0.12</t>
  </si>
  <si>
    <t>93069 fine</t>
  </si>
  <si>
    <t>93069 coarse</t>
  </si>
  <si>
    <t>9a</t>
  </si>
  <si>
    <t>9b</t>
  </si>
  <si>
    <t>10a</t>
  </si>
  <si>
    <t>10b</t>
  </si>
  <si>
    <t>10c</t>
  </si>
  <si>
    <t>11a</t>
  </si>
  <si>
    <t>11b</t>
  </si>
  <si>
    <t>20a</t>
  </si>
  <si>
    <t>20b</t>
  </si>
  <si>
    <t>21a</t>
  </si>
  <si>
    <t>21b</t>
  </si>
  <si>
    <t>?</t>
  </si>
  <si>
    <t>method</t>
  </si>
  <si>
    <r>
      <t>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%</t>
    </r>
  </si>
  <si>
    <r>
      <t>TiO</t>
    </r>
    <r>
      <rPr>
        <vertAlign val="subscript"/>
        <sz val="10"/>
        <rFont val="Times New Roman"/>
        <family val="1"/>
      </rPr>
      <t>2</t>
    </r>
  </si>
  <si>
    <t>1) Yanai and Kojima (1984); 2) Ostertag et al. (1986); 3) Warren and Kallemeyn (1986); 4) Lindstrom et al.(1986); 5) Kaczarel et al.(1986); 6) Fukuoka et al.(1986); 7) Koeberl (1988); 8) Korotev et al. (2003)</t>
  </si>
  <si>
    <t>&lt;0.17</t>
  </si>
  <si>
    <t>Refrences: 1) Neal etal. (1991); 2) Jolliff et al. (1991); 3) Koeberl etal. (1991); 4) Lindstrom et al. (1991); 5) Palme et al. (1991); 6) Warren et al. (1991)</t>
  </si>
  <si>
    <t>c</t>
  </si>
  <si>
    <t>technique  (a) ICP-AES, (b) ICP-MS, (c ) EMPA, (d) FB-EMPA, (e) INAA, (f) RNAA, (g) XRF</t>
  </si>
  <si>
    <t>technique</t>
  </si>
  <si>
    <t>technique  (a) ICP-AES, (b) ICP-MS, (c ) PGA, (d) FB-EMPA, (e) INAA, (f) RNAA, (g) XRF</t>
  </si>
  <si>
    <t>b,c,e</t>
  </si>
  <si>
    <t>technique  (a) ICP-AES, (b) ICP-MS, (c ) wet chemistry (d) FB-EMPA, (e) INAA, (f) RNAA, (g) XRF</t>
  </si>
  <si>
    <t>weight (mg)</t>
  </si>
  <si>
    <t>Table 2a:Chemical composition of SaU 300</t>
  </si>
  <si>
    <t>Table 2b.  Light and/or volatile elements for SaU 300</t>
  </si>
  <si>
    <t>14.4*</t>
  </si>
  <si>
    <t>1) Korotev et al. (2009b)</t>
  </si>
  <si>
    <t>Table 1a.  Chemical composition of SaU 449</t>
  </si>
  <si>
    <t>&lt;3.3</t>
  </si>
  <si>
    <t>&lt;2.5</t>
  </si>
  <si>
    <t>&lt;2.4</t>
  </si>
  <si>
    <t>&lt;1.0</t>
  </si>
  <si>
    <t>&lt;2.0</t>
  </si>
  <si>
    <t>&lt;3000</t>
  </si>
  <si>
    <t>&lt;200</t>
  </si>
  <si>
    <t>&lt;1.2</t>
  </si>
  <si>
    <t>Table 1a.  Chemical composition of NWA 4932</t>
  </si>
  <si>
    <t>Table 1b.  Light and/or volatile elements for NWA 4932</t>
  </si>
  <si>
    <t>&lt;0.7</t>
  </si>
  <si>
    <t>Reference: 1) Fernandes et al. (2009)</t>
  </si>
  <si>
    <t>Table 1: Chemical composition of NWA 3163/4483/4881</t>
  </si>
  <si>
    <t>Table 1b.  Light and/or volatile elements for NWA 3163/4483/4881</t>
  </si>
  <si>
    <t>32 mg</t>
  </si>
  <si>
    <t>294 mg</t>
  </si>
  <si>
    <t>~ 30 mg</t>
  </si>
  <si>
    <t>Table 1: Chemical composition of Shisr 161</t>
  </si>
  <si>
    <t>Table 1b.  Light and/or volatile elements for Shisr 161</t>
  </si>
  <si>
    <t>References: 1) Foreman et al. (2009)</t>
  </si>
  <si>
    <t>b</t>
  </si>
  <si>
    <t>1) Warren et al.(2005); 2) Korotev et al. (2003); 3) Dauber et al. (2002) shock melt glass; 4) Puchtel et al. (2008)</t>
  </si>
  <si>
    <t>Table 1b.  Light and/or volatile elements for SaU 449</t>
  </si>
  <si>
    <t>20-60</t>
  </si>
  <si>
    <t>Table 1a.  Chemical composition of NWA 4936/5406</t>
  </si>
  <si>
    <t>Table 1b.  Light and/or volatile elements for NWA 4936/5406</t>
  </si>
  <si>
    <t>References: 1) Cohen et al. (2004) and Demidova et al. (2007); 2) Warren et al. (2005)</t>
  </si>
  <si>
    <t>References: 1) Warren et al. (2005); 2) Cahill et al. (2004) and Demidova et al. (2007); 3) Korotev et al. (2003); 4) Demidova et al. (2007)</t>
  </si>
  <si>
    <t>Dho 308</t>
  </si>
  <si>
    <t>Dho 280</t>
  </si>
  <si>
    <t>References: 1) Warren et al. (2005); 2) Greshake et al. (2001); 3) Demidova et al. (2007)</t>
  </si>
  <si>
    <t>Dho 301</t>
  </si>
  <si>
    <t>Dho 304</t>
  </si>
  <si>
    <t>Reference: 1) Demidova et al. (2007)</t>
  </si>
  <si>
    <t>Dho 303</t>
  </si>
  <si>
    <t>Dho 305</t>
  </si>
  <si>
    <t>Dho 306</t>
  </si>
  <si>
    <t>Dho 307</t>
  </si>
  <si>
    <t>Dho 309</t>
  </si>
  <si>
    <t>Dho 310</t>
  </si>
  <si>
    <t>Dho 311</t>
  </si>
  <si>
    <t>Dho 730</t>
  </si>
  <si>
    <t>Dho 733</t>
  </si>
  <si>
    <t>Dho 950</t>
  </si>
  <si>
    <t>technique  (a) ICP-AES, (b) ICP-MS, (c ) IDMS, (d) FB-EMPA, (e) INAA, (f) RNAA, (g) PGA, (h) XRF</t>
  </si>
  <si>
    <t>a,e,h</t>
  </si>
  <si>
    <t>–</t>
  </si>
  <si>
    <t>0.34**</t>
  </si>
  <si>
    <t>0.36**</t>
  </si>
  <si>
    <t>1) Takeda et al. (2006); 2) Korotev et al. (2006); 3) Demidova et al. (2007)</t>
  </si>
  <si>
    <t>References: 1) Foreman et al. (2008); 2) Demidova et al. (2007)</t>
  </si>
  <si>
    <t>h</t>
  </si>
  <si>
    <t>Table 1: Chemical composition of Dhofar 1436, 1443</t>
  </si>
  <si>
    <t>Table 1b.  Light and/or volatile elements for Dhofar 1436, 1443</t>
  </si>
  <si>
    <t xml:space="preserve">References: </t>
  </si>
  <si>
    <t>Table 1: Chemical composition of GRA 06157</t>
  </si>
  <si>
    <t>Table 1b.  Light and/or volatile elements for GRA 06157</t>
  </si>
  <si>
    <t>Table 1: Chemical composition of LAR 06638</t>
  </si>
  <si>
    <t>Table 1b.  Light and/or volatile elements for LAR 06638</t>
  </si>
  <si>
    <t>Table 1: Chemical composition of NWA 5000</t>
  </si>
  <si>
    <t>Table 1b.  Light and/or volatile elements for NWA 5000</t>
  </si>
  <si>
    <t>references: 1) Korotev et al. (2009b); 2) Hsu et al. (2008)</t>
  </si>
  <si>
    <t>Table 1a.  Chemical composition of MIL 07006</t>
  </si>
  <si>
    <t>Table 1b.  Light and/or volatile elements for  MIL 07006</t>
  </si>
  <si>
    <t>Table 1a.  Chemical composition of Shisr 160</t>
  </si>
  <si>
    <t>Table 1b.  Light and/or volatile elements for  Shisr 160</t>
  </si>
  <si>
    <t>Table 1a.  Chemical composition of NWA 5744</t>
  </si>
  <si>
    <t>Table 1b.  Light and/or volatile elements for  NWA 5744</t>
  </si>
  <si>
    <t>Table 1a.  Chemical composition of JaH 348</t>
  </si>
  <si>
    <t>Table 1b.  Light and/or volatile elements for  JaH 348</t>
  </si>
</sst>
</file>

<file path=xl/styles.xml><?xml version="1.0" encoding="utf-8"?>
<styleSheet xmlns="http://schemas.openxmlformats.org/spreadsheetml/2006/main">
  <numFmts count="24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0"/>
    <numFmt numFmtId="178" formatCode="0.0000"/>
    <numFmt numFmtId="179" formatCode="0.0"/>
  </numFmts>
  <fonts count="19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top" wrapText="1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1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pane ySplit="2052" topLeftCell="BM31" activePane="bottomLeft" state="split"/>
      <selection pane="topLeft" activeCell="A1" sqref="A1:A16384"/>
      <selection pane="bottomLeft" activeCell="C54" sqref="C54"/>
    </sheetView>
  </sheetViews>
  <sheetFormatPr defaultColWidth="9.140625" defaultRowHeight="12.75"/>
  <cols>
    <col min="1" max="1" width="7.421875" style="0" customWidth="1"/>
    <col min="2" max="12" width="5.8515625" style="0" customWidth="1"/>
    <col min="13" max="14" width="5.8515625" style="6" customWidth="1"/>
    <col min="15" max="16" width="5.8515625" style="0" customWidth="1"/>
  </cols>
  <sheetData>
    <row r="1" ht="13.5">
      <c r="A1" s="5" t="s">
        <v>183</v>
      </c>
    </row>
    <row r="2" spans="1:14" s="2" customFormat="1" ht="9.75">
      <c r="A2" s="1"/>
      <c r="M2" s="7"/>
      <c r="N2" s="7"/>
    </row>
    <row r="3" spans="1:16" ht="12.75">
      <c r="A3" s="3" t="s">
        <v>103</v>
      </c>
      <c r="B3" s="6">
        <v>1</v>
      </c>
      <c r="C3" s="6">
        <v>2</v>
      </c>
      <c r="D3" s="6">
        <v>3</v>
      </c>
      <c r="E3" s="6">
        <v>4</v>
      </c>
      <c r="F3" s="6">
        <v>4</v>
      </c>
      <c r="G3" s="6">
        <v>4</v>
      </c>
      <c r="H3" s="6">
        <v>4</v>
      </c>
      <c r="I3" s="6">
        <v>5</v>
      </c>
      <c r="J3" s="6">
        <v>5</v>
      </c>
      <c r="K3" s="6">
        <v>6</v>
      </c>
      <c r="L3" s="6">
        <v>6</v>
      </c>
      <c r="M3" s="6">
        <v>7</v>
      </c>
      <c r="N3" s="6">
        <v>7</v>
      </c>
      <c r="O3" s="6">
        <v>8</v>
      </c>
      <c r="P3" s="6">
        <v>8</v>
      </c>
    </row>
    <row r="4" spans="1:16" ht="12.75">
      <c r="A4" s="3" t="s">
        <v>104</v>
      </c>
      <c r="B4" s="6">
        <v>840</v>
      </c>
      <c r="C4" s="6">
        <v>59.3</v>
      </c>
      <c r="D4" s="6">
        <v>197</v>
      </c>
      <c r="E4" s="6">
        <v>36.35</v>
      </c>
      <c r="F4" s="6">
        <v>21.62</v>
      </c>
      <c r="G4" s="6">
        <v>30.34</v>
      </c>
      <c r="H4" s="6">
        <v>8.22</v>
      </c>
      <c r="I4" s="6">
        <v>71</v>
      </c>
      <c r="J4" s="6">
        <v>19</v>
      </c>
      <c r="K4" s="6">
        <v>21.4</v>
      </c>
      <c r="L4" s="6">
        <v>23.2</v>
      </c>
      <c r="M4" s="6">
        <v>11.69</v>
      </c>
      <c r="N4" s="6">
        <v>52.6</v>
      </c>
      <c r="O4" s="6">
        <v>41.6</v>
      </c>
      <c r="P4" s="6">
        <v>8</v>
      </c>
    </row>
    <row r="5" spans="1:16" ht="12.75">
      <c r="A5" s="3" t="s">
        <v>251</v>
      </c>
      <c r="B5" s="6" t="s">
        <v>249</v>
      </c>
      <c r="C5" s="6" t="s">
        <v>215</v>
      </c>
      <c r="D5" s="6" t="s">
        <v>215</v>
      </c>
      <c r="E5" s="6" t="s">
        <v>215</v>
      </c>
      <c r="F5" s="6" t="s">
        <v>215</v>
      </c>
      <c r="G5" s="6" t="s">
        <v>215</v>
      </c>
      <c r="H5" s="6" t="s">
        <v>215</v>
      </c>
      <c r="I5" s="6" t="s">
        <v>216</v>
      </c>
      <c r="J5" s="6" t="s">
        <v>216</v>
      </c>
      <c r="K5" s="6" t="s">
        <v>215</v>
      </c>
      <c r="L5" s="6" t="s">
        <v>215</v>
      </c>
      <c r="M5" s="6" t="s">
        <v>215</v>
      </c>
      <c r="N5" s="6" t="s">
        <v>215</v>
      </c>
      <c r="O5" s="6" t="s">
        <v>215</v>
      </c>
      <c r="P5" s="6" t="s">
        <v>215</v>
      </c>
    </row>
    <row r="6" spans="1:16" ht="12.75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O6" s="6"/>
      <c r="P6" s="6"/>
    </row>
    <row r="7" spans="1:16" ht="12.75">
      <c r="A7" s="2" t="s">
        <v>162</v>
      </c>
      <c r="B7" s="6">
        <v>43.14</v>
      </c>
      <c r="C7" s="6"/>
      <c r="D7" s="6"/>
      <c r="E7" s="6"/>
      <c r="F7" s="6"/>
      <c r="G7" s="6"/>
      <c r="H7" s="6"/>
      <c r="I7" s="6"/>
      <c r="J7" s="6"/>
      <c r="K7" s="6"/>
      <c r="L7" s="6"/>
      <c r="P7">
        <v>44.9</v>
      </c>
    </row>
    <row r="8" spans="1:16" ht="12.75">
      <c r="A8" s="2" t="s">
        <v>157</v>
      </c>
      <c r="B8" s="6">
        <v>0.35</v>
      </c>
      <c r="C8" s="6">
        <f>0.22*79.9/47.9</f>
        <v>0.36697286012526104</v>
      </c>
      <c r="D8" s="6">
        <f>0.17*79.9/47.9</f>
        <v>0.2835699373695199</v>
      </c>
      <c r="E8" s="6"/>
      <c r="F8" s="6"/>
      <c r="G8" s="6"/>
      <c r="H8" s="6"/>
      <c r="I8" s="6"/>
      <c r="J8" s="6"/>
      <c r="K8" s="6">
        <v>0.3</v>
      </c>
      <c r="L8" s="6">
        <v>0.32</v>
      </c>
      <c r="P8">
        <v>0.4</v>
      </c>
    </row>
    <row r="9" spans="1:16" ht="12.75">
      <c r="A9" s="2" t="s">
        <v>158</v>
      </c>
      <c r="B9" s="6">
        <v>26.01</v>
      </c>
      <c r="C9" s="6">
        <f>13.3*102/2/27</f>
        <v>25.122222222222224</v>
      </c>
      <c r="D9" s="6">
        <f>14.1*102/2/27</f>
        <v>26.633333333333333</v>
      </c>
      <c r="E9" s="6"/>
      <c r="F9" s="6"/>
      <c r="G9" s="6"/>
      <c r="H9" s="6"/>
      <c r="I9" s="6"/>
      <c r="J9" s="6"/>
      <c r="K9" s="6">
        <v>27.7</v>
      </c>
      <c r="L9" s="6">
        <v>26</v>
      </c>
      <c r="P9">
        <v>27.3</v>
      </c>
    </row>
    <row r="10" spans="1:16" ht="12.75">
      <c r="A10" s="2" t="s">
        <v>105</v>
      </c>
      <c r="B10" s="6">
        <v>7.03</v>
      </c>
      <c r="C10" s="6">
        <f>5.05*71.85/55.85</f>
        <v>6.496732318710832</v>
      </c>
      <c r="D10" s="6">
        <f>4.43*71.85/55.85</f>
        <v>5.699113697403759</v>
      </c>
      <c r="E10" s="6">
        <v>5.98</v>
      </c>
      <c r="F10" s="6">
        <v>6.06</v>
      </c>
      <c r="G10" s="6">
        <v>6.27</v>
      </c>
      <c r="H10" s="6">
        <v>5.99</v>
      </c>
      <c r="I10" s="6"/>
      <c r="J10" s="6"/>
      <c r="K10" s="6">
        <v>6.7</v>
      </c>
      <c r="L10" s="6">
        <v>6.8</v>
      </c>
      <c r="M10" s="6">
        <f>5.1*71.85/55.85</f>
        <v>6.561056401074305</v>
      </c>
      <c r="N10" s="6">
        <f>4.97*71.85/55.85</f>
        <v>6.393813786929274</v>
      </c>
      <c r="O10">
        <v>5.51</v>
      </c>
      <c r="P10" s="6">
        <v>5.71</v>
      </c>
    </row>
    <row r="11" spans="1:16" ht="12.75">
      <c r="A11" s="2" t="s">
        <v>106</v>
      </c>
      <c r="B11" s="6">
        <v>0.08</v>
      </c>
      <c r="C11" s="6">
        <f>0.0734*74.9/58.9</f>
        <v>0.0933388794567063</v>
      </c>
      <c r="D11" s="6">
        <f>0.066*74.9/58.9</f>
        <v>0.08392869269949067</v>
      </c>
      <c r="E11" s="6"/>
      <c r="F11" s="6"/>
      <c r="G11" s="6"/>
      <c r="H11" s="6"/>
      <c r="I11" s="6"/>
      <c r="J11" s="6"/>
      <c r="K11" s="6">
        <v>0.087</v>
      </c>
      <c r="L11" s="6">
        <v>0.084</v>
      </c>
      <c r="M11" s="6">
        <f>0.0645*74.9/58.9</f>
        <v>0.08202122241086589</v>
      </c>
      <c r="N11" s="6">
        <f>0.068*74.9/58.9</f>
        <v>0.08647198641765705</v>
      </c>
      <c r="P11">
        <v>0.12</v>
      </c>
    </row>
    <row r="12" spans="1:16" ht="12.75">
      <c r="A12" s="2" t="s">
        <v>108</v>
      </c>
      <c r="B12" s="6">
        <v>6.22</v>
      </c>
      <c r="C12" s="6">
        <f>4.25*40.3/24.3</f>
        <v>7.048353909465019</v>
      </c>
      <c r="D12" s="6">
        <f>3.6*40.3/24.3</f>
        <v>5.97037037037037</v>
      </c>
      <c r="E12" s="6"/>
      <c r="F12" s="6"/>
      <c r="G12" s="6"/>
      <c r="H12" s="6"/>
      <c r="I12" s="6"/>
      <c r="J12" s="6"/>
      <c r="K12" s="6">
        <v>5.8</v>
      </c>
      <c r="L12" s="6">
        <v>7.7</v>
      </c>
      <c r="P12">
        <v>5.76</v>
      </c>
    </row>
    <row r="13" spans="1:16" ht="12.75">
      <c r="A13" s="2" t="s">
        <v>107</v>
      </c>
      <c r="B13" s="6">
        <v>15.33</v>
      </c>
      <c r="C13" s="6">
        <f>11.4*56.08/40.08</f>
        <v>15.950898203592816</v>
      </c>
      <c r="D13" s="6">
        <f>10.8*56.08/40.08</f>
        <v>15.111377245508983</v>
      </c>
      <c r="E13" s="6">
        <v>15</v>
      </c>
      <c r="F13" s="6">
        <v>15.1</v>
      </c>
      <c r="G13" s="6">
        <v>14.9</v>
      </c>
      <c r="H13" s="6">
        <v>14.8</v>
      </c>
      <c r="I13" s="6"/>
      <c r="J13" s="6"/>
      <c r="K13" s="6">
        <v>15.3</v>
      </c>
      <c r="L13" s="6">
        <v>15.5</v>
      </c>
      <c r="O13">
        <v>15.65</v>
      </c>
      <c r="P13" s="6">
        <v>15.86</v>
      </c>
    </row>
    <row r="14" spans="1:16" ht="12.75">
      <c r="A14" s="2" t="s">
        <v>159</v>
      </c>
      <c r="B14" s="6">
        <v>0.33</v>
      </c>
      <c r="C14" s="6">
        <f>0.241*61.98/2/23</f>
        <v>0.32472130434782603</v>
      </c>
      <c r="D14" s="6">
        <f>0.234*61.98/2/23</f>
        <v>0.3152895652173913</v>
      </c>
      <c r="E14" s="6">
        <v>0.324</v>
      </c>
      <c r="F14" s="6">
        <v>0.334</v>
      </c>
      <c r="G14" s="6">
        <v>0.331</v>
      </c>
      <c r="H14" s="6">
        <v>0.331</v>
      </c>
      <c r="I14" s="6"/>
      <c r="J14" s="6"/>
      <c r="K14" s="6">
        <v>0.34</v>
      </c>
      <c r="L14" s="6">
        <v>0.32</v>
      </c>
      <c r="M14" s="6">
        <f>0.25*61.98/2/23</f>
        <v>0.3368478260869565</v>
      </c>
      <c r="N14" s="6">
        <f>0.25*61.98/2/23</f>
        <v>0.3368478260869565</v>
      </c>
      <c r="O14">
        <v>0.325</v>
      </c>
      <c r="P14" s="6">
        <v>0.3</v>
      </c>
    </row>
    <row r="15" spans="1:16" ht="12.75">
      <c r="A15" s="2" t="s">
        <v>160</v>
      </c>
      <c r="B15" s="6">
        <v>0.02</v>
      </c>
      <c r="C15" s="6">
        <f>290/10000*94.2/2/39.1</f>
        <v>0.03493350383631714</v>
      </c>
      <c r="D15" s="6">
        <f>232/10000*94.2/2/39.1</f>
        <v>0.027946803069053706</v>
      </c>
      <c r="E15" s="6">
        <v>0.025</v>
      </c>
      <c r="F15" s="6">
        <v>0.027</v>
      </c>
      <c r="G15" s="6">
        <v>0.023</v>
      </c>
      <c r="H15" s="6">
        <v>0.023</v>
      </c>
      <c r="I15" s="6"/>
      <c r="J15" s="6"/>
      <c r="K15" s="6">
        <v>0.028</v>
      </c>
      <c r="L15" s="6">
        <v>0.026</v>
      </c>
      <c r="M15" s="6">
        <f>240/10000*94.2/2/39.1</f>
        <v>0.028910485933503836</v>
      </c>
      <c r="N15" s="6">
        <f>238/10000*94.2/2/39.1</f>
        <v>0.028669565217391304</v>
      </c>
      <c r="O15" t="s">
        <v>9</v>
      </c>
      <c r="P15" s="6">
        <v>0.028</v>
      </c>
    </row>
    <row r="16" spans="1:16" ht="12.75">
      <c r="A16" s="2" t="s">
        <v>161</v>
      </c>
      <c r="B16" s="6">
        <v>0.31</v>
      </c>
      <c r="C16" s="6">
        <f>100/10000*142/2/31</f>
        <v>0.022903225806451613</v>
      </c>
      <c r="D16" s="6"/>
      <c r="E16" s="6"/>
      <c r="F16" s="6"/>
      <c r="G16" s="6"/>
      <c r="H16" s="6"/>
      <c r="I16" s="6"/>
      <c r="J16" s="6"/>
      <c r="K16" s="6"/>
      <c r="L16" s="6"/>
      <c r="P16" s="6">
        <v>0.02</v>
      </c>
    </row>
    <row r="17" spans="1:12" ht="12.75">
      <c r="A17" s="2" t="s">
        <v>181</v>
      </c>
      <c r="B17" s="6">
        <v>0.41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3" t="s">
        <v>109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5" ht="12.75">
      <c r="A20" s="2" t="s">
        <v>163</v>
      </c>
      <c r="B20" s="6"/>
      <c r="C20" s="6">
        <v>16.5</v>
      </c>
      <c r="D20" s="6">
        <v>12.5</v>
      </c>
      <c r="E20" s="6">
        <v>12.87</v>
      </c>
      <c r="F20" s="6">
        <v>13.78</v>
      </c>
      <c r="G20" s="6">
        <v>14.02</v>
      </c>
      <c r="H20" s="6">
        <v>12.82</v>
      </c>
      <c r="I20" s="6"/>
      <c r="J20" s="6"/>
      <c r="K20" s="6">
        <v>13.5</v>
      </c>
      <c r="L20" s="6">
        <v>12.7</v>
      </c>
      <c r="M20" s="6">
        <v>12.6</v>
      </c>
      <c r="N20" s="6">
        <v>12</v>
      </c>
      <c r="O20" s="6">
        <v>11.7</v>
      </c>
    </row>
    <row r="21" spans="1:12" ht="12.75">
      <c r="A21" s="2" t="s">
        <v>110</v>
      </c>
      <c r="B21" s="6"/>
      <c r="C21" s="6">
        <v>39</v>
      </c>
      <c r="D21" s="6">
        <v>30</v>
      </c>
      <c r="E21" s="6"/>
      <c r="F21" s="6"/>
      <c r="G21" s="6"/>
      <c r="H21" s="6"/>
      <c r="I21" s="6"/>
      <c r="J21" s="6"/>
      <c r="K21" s="6">
        <v>30</v>
      </c>
      <c r="L21" s="6">
        <v>24</v>
      </c>
    </row>
    <row r="22" spans="1:16" ht="12.75">
      <c r="A22" s="2" t="s">
        <v>111</v>
      </c>
      <c r="B22" s="6">
        <f>0.13*52*2/152*10000</f>
        <v>889.4736842105262</v>
      </c>
      <c r="C22" s="6">
        <v>1034</v>
      </c>
      <c r="D22" s="6">
        <v>880</v>
      </c>
      <c r="E22" s="6">
        <v>940</v>
      </c>
      <c r="F22" s="6">
        <v>933</v>
      </c>
      <c r="G22" s="6">
        <v>938</v>
      </c>
      <c r="H22" s="6">
        <v>906</v>
      </c>
      <c r="I22" s="6"/>
      <c r="J22" s="6"/>
      <c r="K22" s="6">
        <f>0.125*52*2/152*10000</f>
        <v>855.2631578947369</v>
      </c>
      <c r="L22" s="6">
        <f>0.114*52*2/152*10000</f>
        <v>780</v>
      </c>
      <c r="M22" s="6">
        <v>930</v>
      </c>
      <c r="N22" s="6">
        <v>880</v>
      </c>
      <c r="O22">
        <v>865</v>
      </c>
      <c r="P22" s="11">
        <f>1100/152*2*52</f>
        <v>752.6315789473683</v>
      </c>
    </row>
    <row r="23" spans="1:15" ht="12.75">
      <c r="A23" s="2" t="s">
        <v>112</v>
      </c>
      <c r="B23" s="6"/>
      <c r="C23" s="6">
        <v>16.9</v>
      </c>
      <c r="D23" s="6">
        <v>18.4</v>
      </c>
      <c r="E23" s="6">
        <v>21.6</v>
      </c>
      <c r="F23" s="6">
        <v>17.1</v>
      </c>
      <c r="G23" s="6">
        <v>19.4</v>
      </c>
      <c r="H23" s="6">
        <v>19.2</v>
      </c>
      <c r="I23" s="6">
        <v>18.2</v>
      </c>
      <c r="J23" s="6">
        <v>21.2</v>
      </c>
      <c r="K23" s="6">
        <v>19.8</v>
      </c>
      <c r="L23" s="6" t="s">
        <v>187</v>
      </c>
      <c r="M23" s="6">
        <v>26.2</v>
      </c>
      <c r="N23" s="6">
        <v>24.2</v>
      </c>
      <c r="O23" s="6">
        <v>5.51</v>
      </c>
    </row>
    <row r="24" spans="1:15" ht="12.75">
      <c r="A24" s="2" t="s">
        <v>113</v>
      </c>
      <c r="B24" s="6"/>
      <c r="C24" s="6">
        <v>100</v>
      </c>
      <c r="D24" s="6">
        <v>154</v>
      </c>
      <c r="E24" s="6">
        <v>214</v>
      </c>
      <c r="F24" s="6">
        <v>152</v>
      </c>
      <c r="G24" s="6">
        <v>185</v>
      </c>
      <c r="H24" s="6">
        <v>193</v>
      </c>
      <c r="I24" s="6"/>
      <c r="J24" s="6"/>
      <c r="K24" s="6">
        <v>170</v>
      </c>
      <c r="L24" s="6" t="s">
        <v>188</v>
      </c>
      <c r="M24" s="6">
        <v>214</v>
      </c>
      <c r="N24" s="6">
        <v>220</v>
      </c>
      <c r="O24" s="6">
        <v>151</v>
      </c>
    </row>
    <row r="25" spans="1:12" ht="12.75">
      <c r="A25" s="2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2" t="s">
        <v>115</v>
      </c>
      <c r="B26" s="6"/>
      <c r="C26" s="6">
        <v>50</v>
      </c>
      <c r="D26" s="6">
        <v>21</v>
      </c>
      <c r="E26" s="6"/>
      <c r="F26" s="6"/>
      <c r="G26" s="6"/>
      <c r="H26" s="6"/>
      <c r="I26" s="6">
        <v>18</v>
      </c>
      <c r="J26" s="6">
        <v>189</v>
      </c>
      <c r="K26" s="6"/>
      <c r="L26" s="6"/>
    </row>
    <row r="27" spans="1:14" ht="12.75">
      <c r="A27" s="2" t="s">
        <v>116</v>
      </c>
      <c r="B27" s="6"/>
      <c r="C27" s="6">
        <v>9.87</v>
      </c>
      <c r="D27" s="6">
        <v>3.2</v>
      </c>
      <c r="E27" s="6"/>
      <c r="F27" s="6"/>
      <c r="G27" s="6"/>
      <c r="H27" s="6"/>
      <c r="I27" s="6">
        <v>3.16</v>
      </c>
      <c r="J27" s="6">
        <v>37.4</v>
      </c>
      <c r="K27" s="6"/>
      <c r="L27" s="6"/>
      <c r="N27" s="6">
        <v>3.3</v>
      </c>
    </row>
    <row r="28" spans="1:12" ht="12.75">
      <c r="A28" s="2" t="s">
        <v>117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5" ht="12.75">
      <c r="A29" s="2" t="s">
        <v>118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 t="s">
        <v>189</v>
      </c>
      <c r="N29" s="6">
        <v>0.37</v>
      </c>
      <c r="O29" t="s">
        <v>209</v>
      </c>
    </row>
    <row r="30" spans="1:14" ht="12.75">
      <c r="A30" s="2" t="s">
        <v>119</v>
      </c>
      <c r="B30" s="6"/>
      <c r="C30" s="6"/>
      <c r="D30" s="6"/>
      <c r="E30" s="6"/>
      <c r="F30" s="6"/>
      <c r="G30" s="6"/>
      <c r="H30" s="6"/>
      <c r="I30" s="6">
        <v>0.193</v>
      </c>
      <c r="J30" s="6">
        <v>0.457</v>
      </c>
      <c r="K30" s="6"/>
      <c r="L30" s="6"/>
      <c r="M30" s="6">
        <v>0.83</v>
      </c>
      <c r="N30" s="6">
        <v>0.5</v>
      </c>
    </row>
    <row r="31" spans="1:15" ht="12.75">
      <c r="A31" s="2" t="s">
        <v>120</v>
      </c>
      <c r="B31" s="6"/>
      <c r="C31" s="6"/>
      <c r="D31" s="6"/>
      <c r="E31" s="6"/>
      <c r="F31" s="6"/>
      <c r="G31" s="6"/>
      <c r="H31" s="6"/>
      <c r="I31" s="6">
        <v>0.68</v>
      </c>
      <c r="J31" s="6">
        <v>2.66</v>
      </c>
      <c r="K31" s="6"/>
      <c r="L31" s="6"/>
      <c r="M31" s="6" t="s">
        <v>190</v>
      </c>
      <c r="N31" s="6">
        <v>8</v>
      </c>
      <c r="O31" t="s">
        <v>71</v>
      </c>
    </row>
    <row r="32" spans="1:15" ht="12.75">
      <c r="A32" s="2" t="s">
        <v>121</v>
      </c>
      <c r="B32" s="6"/>
      <c r="C32" s="6">
        <v>118</v>
      </c>
      <c r="D32" s="6">
        <v>140</v>
      </c>
      <c r="E32" s="6">
        <v>148</v>
      </c>
      <c r="F32" s="6">
        <v>152</v>
      </c>
      <c r="G32" s="6">
        <v>149</v>
      </c>
      <c r="H32" s="6">
        <v>141</v>
      </c>
      <c r="I32" s="6"/>
      <c r="J32" s="6"/>
      <c r="K32" s="6">
        <v>130</v>
      </c>
      <c r="L32" s="6">
        <v>150</v>
      </c>
      <c r="M32" s="6">
        <v>100</v>
      </c>
      <c r="N32" s="6">
        <v>171</v>
      </c>
      <c r="O32" s="6">
        <v>150</v>
      </c>
    </row>
    <row r="33" spans="1:12" ht="12.75">
      <c r="A33" s="2" t="s">
        <v>122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5" ht="12.75">
      <c r="A34" s="2" t="s">
        <v>123</v>
      </c>
      <c r="B34" s="6"/>
      <c r="C34" s="6"/>
      <c r="D34" s="6">
        <v>26</v>
      </c>
      <c r="E34" s="6">
        <v>47</v>
      </c>
      <c r="F34" s="6">
        <v>47</v>
      </c>
      <c r="G34" s="6">
        <v>42</v>
      </c>
      <c r="H34" s="6">
        <v>40</v>
      </c>
      <c r="I34" s="6"/>
      <c r="J34" s="6"/>
      <c r="K34" s="6">
        <v>30</v>
      </c>
      <c r="L34" s="6">
        <v>35</v>
      </c>
      <c r="M34" s="6">
        <v>35</v>
      </c>
      <c r="N34" s="6">
        <v>35</v>
      </c>
      <c r="O34" s="6">
        <v>30</v>
      </c>
    </row>
    <row r="35" spans="1:12" ht="12.75">
      <c r="A35" s="2" t="s">
        <v>124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" t="s">
        <v>125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" t="s">
        <v>167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" t="s">
        <v>168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" t="s">
        <v>126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2" t="s">
        <v>127</v>
      </c>
      <c r="B40" s="6"/>
      <c r="C40" s="6"/>
      <c r="D40" s="6"/>
      <c r="E40" s="6"/>
      <c r="F40" s="6"/>
      <c r="G40" s="6"/>
      <c r="H40" s="6"/>
      <c r="I40" s="6">
        <v>6.1</v>
      </c>
      <c r="J40" s="6">
        <v>43.9</v>
      </c>
      <c r="K40" s="6"/>
      <c r="L40" s="6"/>
    </row>
    <row r="41" spans="1:12" ht="12.75">
      <c r="A41" s="2" t="s">
        <v>128</v>
      </c>
      <c r="B41" s="6"/>
      <c r="C41" s="6"/>
      <c r="D41" s="6"/>
      <c r="E41" s="6"/>
      <c r="F41" s="6"/>
      <c r="G41" s="6"/>
      <c r="H41" s="6"/>
      <c r="I41" s="6">
        <v>170</v>
      </c>
      <c r="J41" s="6">
        <v>220</v>
      </c>
      <c r="K41" s="6"/>
      <c r="L41" s="6"/>
    </row>
    <row r="42" spans="1:12" ht="12.75">
      <c r="A42" s="2" t="s">
        <v>129</v>
      </c>
      <c r="B42" s="6"/>
      <c r="C42" s="6"/>
      <c r="D42" s="6"/>
      <c r="E42" s="6"/>
      <c r="F42" s="6"/>
      <c r="G42" s="6"/>
      <c r="H42" s="6"/>
      <c r="I42" s="6">
        <v>13</v>
      </c>
      <c r="J42" s="6">
        <v>8.4</v>
      </c>
      <c r="K42" s="6"/>
      <c r="L42" s="6"/>
    </row>
    <row r="43" spans="1:12" ht="12.75">
      <c r="A43" s="2" t="s">
        <v>164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5" ht="12.75">
      <c r="A44" s="2" t="s">
        <v>130</v>
      </c>
      <c r="B44" s="6"/>
      <c r="C44" s="6"/>
      <c r="D44" s="6"/>
      <c r="E44" s="6"/>
      <c r="F44" s="6"/>
      <c r="G44" s="6"/>
      <c r="H44" s="6"/>
      <c r="I44" s="6">
        <v>1.4</v>
      </c>
      <c r="J44" s="6">
        <v>17.2</v>
      </c>
      <c r="K44" s="6"/>
      <c r="L44" s="6"/>
      <c r="N44" s="6" t="s">
        <v>191</v>
      </c>
      <c r="O44" t="s">
        <v>208</v>
      </c>
    </row>
    <row r="45" spans="1:12" ht="12.75">
      <c r="A45" s="2" t="s">
        <v>131</v>
      </c>
      <c r="B45" s="6"/>
      <c r="C45" s="6"/>
      <c r="D45" s="6"/>
      <c r="E45" s="6"/>
      <c r="F45" s="6"/>
      <c r="G45" s="6"/>
      <c r="H45" s="6"/>
      <c r="I45" s="6">
        <v>21.3</v>
      </c>
      <c r="J45" s="6">
        <v>228</v>
      </c>
      <c r="K45" s="6"/>
      <c r="L45" s="6"/>
    </row>
    <row r="46" spans="1:15" ht="12.75">
      <c r="A46" s="2" t="s">
        <v>132</v>
      </c>
      <c r="B46" s="6"/>
      <c r="C46" s="6"/>
      <c r="D46" s="6">
        <v>0.059</v>
      </c>
      <c r="E46" s="6"/>
      <c r="F46" s="6"/>
      <c r="G46" s="6"/>
      <c r="H46" s="6"/>
      <c r="I46" s="6">
        <v>0.0368</v>
      </c>
      <c r="J46" s="6">
        <v>0.216</v>
      </c>
      <c r="K46" s="6"/>
      <c r="L46" s="6"/>
      <c r="M46" s="6" t="s">
        <v>192</v>
      </c>
      <c r="N46" s="6">
        <v>0.08</v>
      </c>
      <c r="O46" t="s">
        <v>228</v>
      </c>
    </row>
    <row r="47" spans="1:15" ht="12.75">
      <c r="A47" s="2" t="s">
        <v>133</v>
      </c>
      <c r="B47" s="6"/>
      <c r="C47" s="6">
        <v>34</v>
      </c>
      <c r="D47" s="6">
        <v>29</v>
      </c>
      <c r="E47" s="6">
        <v>30</v>
      </c>
      <c r="F47" s="6">
        <v>32</v>
      </c>
      <c r="G47" s="6">
        <v>36</v>
      </c>
      <c r="H47" s="6">
        <v>38</v>
      </c>
      <c r="I47" s="6"/>
      <c r="J47" s="6"/>
      <c r="K47" s="6">
        <v>40</v>
      </c>
      <c r="L47" s="6">
        <v>38</v>
      </c>
      <c r="M47" s="6">
        <v>30</v>
      </c>
      <c r="N47" s="6">
        <v>30</v>
      </c>
      <c r="O47" s="6">
        <v>26</v>
      </c>
    </row>
    <row r="48" spans="1:15" ht="12.75">
      <c r="A48" s="2" t="s">
        <v>134</v>
      </c>
      <c r="B48" s="6"/>
      <c r="C48" s="6">
        <v>3.24</v>
      </c>
      <c r="D48" s="6">
        <v>2.16</v>
      </c>
      <c r="E48" s="6">
        <v>2.24</v>
      </c>
      <c r="F48" s="6">
        <v>2.95</v>
      </c>
      <c r="G48" s="6">
        <v>2.55</v>
      </c>
      <c r="H48" s="6">
        <v>2.59</v>
      </c>
      <c r="I48" s="6"/>
      <c r="J48" s="6"/>
      <c r="K48" s="6">
        <v>2.16</v>
      </c>
      <c r="L48" s="6">
        <v>2.06</v>
      </c>
      <c r="M48" s="6">
        <v>2.17</v>
      </c>
      <c r="N48" s="6">
        <v>2.51</v>
      </c>
      <c r="O48" s="6">
        <v>1.93</v>
      </c>
    </row>
    <row r="49" spans="1:15" ht="12.75">
      <c r="A49" s="2" t="s">
        <v>135</v>
      </c>
      <c r="B49" s="6"/>
      <c r="C49" s="6">
        <v>8.76</v>
      </c>
      <c r="D49" s="6">
        <v>5</v>
      </c>
      <c r="E49" s="6">
        <v>5.7</v>
      </c>
      <c r="F49" s="6">
        <v>7.4</v>
      </c>
      <c r="G49" s="6">
        <v>6.6</v>
      </c>
      <c r="H49" s="6">
        <v>6.7</v>
      </c>
      <c r="I49" s="6"/>
      <c r="J49" s="6"/>
      <c r="K49" s="6">
        <v>5.6</v>
      </c>
      <c r="L49" s="6">
        <v>5.2</v>
      </c>
      <c r="M49" s="6">
        <v>4</v>
      </c>
      <c r="N49" s="6">
        <v>4.65</v>
      </c>
      <c r="O49" s="6">
        <v>5.18</v>
      </c>
    </row>
    <row r="50" spans="1:12" ht="12.75">
      <c r="A50" s="2" t="s">
        <v>136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5" ht="12.75">
      <c r="A51" s="2" t="s">
        <v>137</v>
      </c>
      <c r="B51" s="6"/>
      <c r="C51" s="6">
        <v>5.24</v>
      </c>
      <c r="D51" s="6">
        <v>3</v>
      </c>
      <c r="E51" s="6">
        <v>3.6</v>
      </c>
      <c r="F51" s="6">
        <v>4.7</v>
      </c>
      <c r="G51" s="6">
        <v>4.3</v>
      </c>
      <c r="H51" s="6">
        <v>3.6</v>
      </c>
      <c r="I51" s="6"/>
      <c r="J51" s="6"/>
      <c r="K51" s="6">
        <v>3.5</v>
      </c>
      <c r="L51" s="6">
        <v>3.2</v>
      </c>
      <c r="M51" s="6">
        <v>3.5</v>
      </c>
      <c r="N51" s="6">
        <v>3.6</v>
      </c>
      <c r="O51" s="6">
        <v>3</v>
      </c>
    </row>
    <row r="52" spans="1:15" ht="12.75">
      <c r="A52" s="2" t="s">
        <v>138</v>
      </c>
      <c r="B52" s="6"/>
      <c r="C52" s="6">
        <v>1.56</v>
      </c>
      <c r="D52" s="6">
        <v>0.96</v>
      </c>
      <c r="E52" s="6">
        <v>1.11</v>
      </c>
      <c r="F52" s="6">
        <v>1.44</v>
      </c>
      <c r="G52" s="6">
        <v>1.25</v>
      </c>
      <c r="H52" s="6">
        <v>1.24</v>
      </c>
      <c r="I52" s="6"/>
      <c r="J52" s="6"/>
      <c r="K52" s="6">
        <v>1.08</v>
      </c>
      <c r="L52" s="6">
        <v>1.01</v>
      </c>
      <c r="M52" s="6">
        <v>1.23</v>
      </c>
      <c r="N52" s="6">
        <v>1.15</v>
      </c>
      <c r="O52" s="6">
        <v>0.975</v>
      </c>
    </row>
    <row r="53" spans="1:15" ht="12.75">
      <c r="A53" s="2" t="s">
        <v>139</v>
      </c>
      <c r="B53" s="6"/>
      <c r="C53" s="6">
        <v>0.723</v>
      </c>
      <c r="D53" s="6">
        <v>0.72</v>
      </c>
      <c r="E53" s="6">
        <v>0.75</v>
      </c>
      <c r="F53" s="6">
        <v>0.791</v>
      </c>
      <c r="G53" s="6">
        <v>0.77</v>
      </c>
      <c r="H53" s="6">
        <v>0.762</v>
      </c>
      <c r="I53" s="6"/>
      <c r="J53" s="6"/>
      <c r="K53" s="6">
        <v>0.8</v>
      </c>
      <c r="L53" s="6">
        <v>0.76</v>
      </c>
      <c r="M53" s="6">
        <v>0.704</v>
      </c>
      <c r="N53" s="6">
        <v>0.72</v>
      </c>
      <c r="O53" s="6">
        <v>0.734</v>
      </c>
    </row>
    <row r="54" spans="1:14" ht="12.75">
      <c r="A54" s="2" t="s">
        <v>140</v>
      </c>
      <c r="B54" s="6"/>
      <c r="C54" s="6"/>
      <c r="D54" s="6"/>
      <c r="E54" s="6"/>
      <c r="F54" s="6"/>
      <c r="G54" s="6"/>
      <c r="H54" s="6"/>
      <c r="I54" s="6"/>
      <c r="J54" s="6"/>
      <c r="K54" s="6">
        <v>1.3</v>
      </c>
      <c r="L54" s="6">
        <v>1.3</v>
      </c>
      <c r="M54" s="6">
        <v>1.65</v>
      </c>
      <c r="N54" s="6">
        <v>1.6</v>
      </c>
    </row>
    <row r="55" spans="1:15" ht="12.75">
      <c r="A55" s="2" t="s">
        <v>141</v>
      </c>
      <c r="B55" s="6"/>
      <c r="C55" s="6">
        <v>0.33</v>
      </c>
      <c r="D55" s="6">
        <v>0.216</v>
      </c>
      <c r="E55" s="6">
        <v>0.26</v>
      </c>
      <c r="F55" s="6">
        <v>0.33</v>
      </c>
      <c r="G55" s="6">
        <v>0.29</v>
      </c>
      <c r="H55" s="6">
        <v>0.3</v>
      </c>
      <c r="I55" s="6"/>
      <c r="J55" s="6"/>
      <c r="K55" s="6">
        <v>0.26</v>
      </c>
      <c r="L55" s="6">
        <v>0.21</v>
      </c>
      <c r="M55" s="6">
        <v>0.28</v>
      </c>
      <c r="N55" s="6">
        <v>0.22</v>
      </c>
      <c r="O55" s="6">
        <v>0.227</v>
      </c>
    </row>
    <row r="56" spans="1:14" ht="12.75">
      <c r="A56" s="2" t="s">
        <v>142</v>
      </c>
      <c r="B56" s="6"/>
      <c r="C56" s="6">
        <v>2.22</v>
      </c>
      <c r="D56" s="6">
        <v>1.4</v>
      </c>
      <c r="E56" s="6"/>
      <c r="F56" s="6"/>
      <c r="G56" s="6"/>
      <c r="H56" s="6"/>
      <c r="I56" s="6"/>
      <c r="J56" s="6"/>
      <c r="K56" s="6">
        <v>1.6</v>
      </c>
      <c r="L56" s="6">
        <v>1.45</v>
      </c>
      <c r="M56" s="6">
        <v>1.96</v>
      </c>
      <c r="N56" s="6">
        <v>1.6</v>
      </c>
    </row>
    <row r="57" spans="1:12" ht="12.75">
      <c r="A57" s="2" t="s">
        <v>143</v>
      </c>
      <c r="B57" s="6"/>
      <c r="C57" s="6">
        <v>0.48</v>
      </c>
      <c r="D57" s="6">
        <v>0.28</v>
      </c>
      <c r="E57" s="6"/>
      <c r="F57" s="6"/>
      <c r="G57" s="6"/>
      <c r="H57" s="6"/>
      <c r="I57" s="6"/>
      <c r="J57" s="6"/>
      <c r="K57" s="6"/>
      <c r="L57" s="6"/>
    </row>
    <row r="58" spans="1:12" ht="12.75">
      <c r="A58" s="2" t="s">
        <v>144</v>
      </c>
      <c r="B58" s="6"/>
      <c r="C58" s="6" t="s">
        <v>185</v>
      </c>
      <c r="D58" s="6"/>
      <c r="E58" s="6"/>
      <c r="F58" s="6"/>
      <c r="G58" s="6"/>
      <c r="H58" s="6"/>
      <c r="I58" s="6"/>
      <c r="J58" s="6"/>
      <c r="K58" s="6"/>
      <c r="L58" s="6"/>
    </row>
    <row r="59" spans="1:14" ht="12.75">
      <c r="A59" s="2" t="s">
        <v>145</v>
      </c>
      <c r="B59" s="6"/>
      <c r="C59" s="6">
        <v>0.23</v>
      </c>
      <c r="D59" s="6"/>
      <c r="E59" s="6"/>
      <c r="F59" s="6"/>
      <c r="G59" s="6"/>
      <c r="H59" s="6"/>
      <c r="I59" s="6"/>
      <c r="J59" s="6"/>
      <c r="K59" s="6">
        <v>0.16</v>
      </c>
      <c r="L59" s="6">
        <v>0.16</v>
      </c>
      <c r="M59" s="6">
        <v>0.2</v>
      </c>
      <c r="N59" s="6">
        <v>0.15</v>
      </c>
    </row>
    <row r="60" spans="1:15" ht="12.75">
      <c r="A60" s="2" t="s">
        <v>146</v>
      </c>
      <c r="B60" s="6"/>
      <c r="C60" s="6">
        <v>1.34</v>
      </c>
      <c r="D60" s="6">
        <v>0.95</v>
      </c>
      <c r="E60" s="6">
        <v>0.97</v>
      </c>
      <c r="F60" s="6">
        <v>1.17</v>
      </c>
      <c r="G60" s="6">
        <v>1.08</v>
      </c>
      <c r="H60" s="6">
        <v>1.03</v>
      </c>
      <c r="I60" s="6"/>
      <c r="J60" s="6"/>
      <c r="K60" s="6">
        <v>1.12</v>
      </c>
      <c r="L60" s="6">
        <v>0.95</v>
      </c>
      <c r="M60" s="6">
        <v>1.05</v>
      </c>
      <c r="N60" s="6">
        <v>1.12</v>
      </c>
      <c r="O60" s="6">
        <v>0.896</v>
      </c>
    </row>
    <row r="61" spans="1:15" ht="12.75">
      <c r="A61" s="2" t="s">
        <v>147</v>
      </c>
      <c r="B61" s="6"/>
      <c r="C61" s="6">
        <v>0.19</v>
      </c>
      <c r="D61" s="6">
        <v>0.135</v>
      </c>
      <c r="E61" s="6">
        <v>0.143</v>
      </c>
      <c r="F61" s="6">
        <v>0.174</v>
      </c>
      <c r="G61" s="6">
        <v>0.159</v>
      </c>
      <c r="H61" s="6">
        <v>0.155</v>
      </c>
      <c r="I61" s="6"/>
      <c r="J61" s="6"/>
      <c r="K61" s="6">
        <v>0.17</v>
      </c>
      <c r="L61" s="6">
        <v>0.14</v>
      </c>
      <c r="M61" s="6">
        <v>0.159</v>
      </c>
      <c r="N61" s="6">
        <v>0.138</v>
      </c>
      <c r="O61" s="6">
        <v>0.127</v>
      </c>
    </row>
    <row r="62" spans="1:15" ht="12.75">
      <c r="A62" s="2" t="s">
        <v>148</v>
      </c>
      <c r="B62" s="6"/>
      <c r="C62" s="6">
        <v>1.11</v>
      </c>
      <c r="D62" s="6">
        <v>0.73</v>
      </c>
      <c r="E62" s="6">
        <v>0.85</v>
      </c>
      <c r="F62" s="6">
        <v>1.03</v>
      </c>
      <c r="G62" s="6">
        <v>0.93</v>
      </c>
      <c r="H62" s="6">
        <v>0.93</v>
      </c>
      <c r="I62" s="6"/>
      <c r="J62" s="6"/>
      <c r="K62" s="6">
        <v>0.78</v>
      </c>
      <c r="L62" s="6">
        <v>0.85</v>
      </c>
      <c r="M62" s="6">
        <v>0.92</v>
      </c>
      <c r="N62" s="6">
        <v>1.33</v>
      </c>
      <c r="O62" s="6">
        <v>0.73</v>
      </c>
    </row>
    <row r="63" spans="1:15" ht="12.75">
      <c r="A63" s="2" t="s">
        <v>149</v>
      </c>
      <c r="B63" s="6"/>
      <c r="C63" s="6">
        <v>0.16</v>
      </c>
      <c r="D63" s="6">
        <v>0.078</v>
      </c>
      <c r="E63" s="6">
        <v>0.103</v>
      </c>
      <c r="F63" s="6">
        <v>0.128</v>
      </c>
      <c r="G63" s="6">
        <v>0.107</v>
      </c>
      <c r="H63" s="6">
        <v>0.108</v>
      </c>
      <c r="I63" s="6"/>
      <c r="J63" s="6"/>
      <c r="K63" s="6">
        <v>0.1</v>
      </c>
      <c r="L63" s="6">
        <v>0.12</v>
      </c>
      <c r="M63" s="6">
        <v>0.2</v>
      </c>
      <c r="N63" s="6">
        <v>0.1</v>
      </c>
      <c r="O63" s="6">
        <v>0.099</v>
      </c>
    </row>
    <row r="64" spans="1:15" ht="12.75">
      <c r="A64" s="2" t="s">
        <v>150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O64" t="s">
        <v>36</v>
      </c>
    </row>
    <row r="65" spans="1:12" ht="12.75">
      <c r="A65" s="2" t="s">
        <v>151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2" t="s">
        <v>152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5" ht="12.75">
      <c r="A67" s="2" t="s">
        <v>153</v>
      </c>
      <c r="B67" s="6"/>
      <c r="C67" s="6">
        <v>5.9</v>
      </c>
      <c r="D67" s="6">
        <v>6.4</v>
      </c>
      <c r="E67" s="6">
        <v>9.7</v>
      </c>
      <c r="F67" s="6">
        <v>4.5</v>
      </c>
      <c r="G67" s="6">
        <v>6.6</v>
      </c>
      <c r="H67" s="6">
        <v>4</v>
      </c>
      <c r="I67" s="6"/>
      <c r="J67" s="6"/>
      <c r="K67" s="6">
        <v>6</v>
      </c>
      <c r="L67" s="6">
        <v>6.6</v>
      </c>
      <c r="M67" s="6">
        <v>6.3</v>
      </c>
      <c r="N67" s="6">
        <v>6.8</v>
      </c>
      <c r="O67" s="6">
        <v>5.5</v>
      </c>
    </row>
    <row r="68" spans="1:12" ht="12.75">
      <c r="A68" s="2" t="s">
        <v>166</v>
      </c>
      <c r="B68" s="6" t="s">
        <v>165</v>
      </c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5" ht="12.75">
      <c r="A69" s="2" t="s">
        <v>154</v>
      </c>
      <c r="B69" s="6"/>
      <c r="C69" s="6">
        <v>1.3</v>
      </c>
      <c r="D69" s="6" t="s">
        <v>182</v>
      </c>
      <c r="E69" s="6">
        <v>1.8</v>
      </c>
      <c r="F69" s="6">
        <v>1.4</v>
      </c>
      <c r="G69" s="6">
        <v>3.4</v>
      </c>
      <c r="H69" s="6">
        <v>4.2</v>
      </c>
      <c r="I69" s="6">
        <v>18.6</v>
      </c>
      <c r="J69" s="6">
        <v>30.7</v>
      </c>
      <c r="K69" s="6">
        <v>2.5</v>
      </c>
      <c r="L69" s="6" t="s">
        <v>186</v>
      </c>
      <c r="M69" s="6">
        <v>3.6</v>
      </c>
      <c r="N69" s="6">
        <v>7.3</v>
      </c>
      <c r="O69" s="6">
        <v>1.5</v>
      </c>
    </row>
    <row r="70" spans="1:15" ht="12.75">
      <c r="A70" s="2" t="s">
        <v>155</v>
      </c>
      <c r="B70" s="6"/>
      <c r="C70" s="6">
        <v>0.43</v>
      </c>
      <c r="D70" s="6">
        <v>0.28</v>
      </c>
      <c r="E70" s="6">
        <v>0.31</v>
      </c>
      <c r="F70" s="6">
        <v>0.36</v>
      </c>
      <c r="G70" s="6">
        <v>0.33</v>
      </c>
      <c r="H70" s="6">
        <v>0.29</v>
      </c>
      <c r="I70" s="6"/>
      <c r="J70" s="6"/>
      <c r="K70" s="6">
        <v>0.39</v>
      </c>
      <c r="L70" s="6">
        <v>0.29</v>
      </c>
      <c r="M70" s="6">
        <v>0.34</v>
      </c>
      <c r="N70" s="6">
        <v>0.34</v>
      </c>
      <c r="O70" s="6">
        <v>0.291</v>
      </c>
    </row>
    <row r="71" spans="1:15" ht="12.75">
      <c r="A71" s="2" t="s">
        <v>156</v>
      </c>
      <c r="B71" s="6"/>
      <c r="C71" s="6">
        <v>0.14</v>
      </c>
      <c r="D71" s="6">
        <v>0.079</v>
      </c>
      <c r="E71" s="6">
        <v>0.1</v>
      </c>
      <c r="F71" s="6">
        <v>0.13</v>
      </c>
      <c r="G71" s="6">
        <v>0.12</v>
      </c>
      <c r="H71" s="6">
        <v>0.13</v>
      </c>
      <c r="I71" s="6"/>
      <c r="J71" s="6"/>
      <c r="K71" s="6">
        <v>0.1</v>
      </c>
      <c r="L71" s="6">
        <v>0.09</v>
      </c>
      <c r="N71" s="6">
        <v>0.1</v>
      </c>
      <c r="O71" s="6">
        <v>0.09</v>
      </c>
    </row>
    <row r="72" s="29" customFormat="1" ht="12.75">
      <c r="A72" s="28" t="s">
        <v>254</v>
      </c>
    </row>
    <row r="73" spans="1:12" ht="12.75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4" t="s">
        <v>184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2" t="s">
        <v>174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2" t="s">
        <v>169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2" t="s">
        <v>170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2" t="s">
        <v>171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2" t="s">
        <v>176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2" t="s">
        <v>172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4" ht="12.75">
      <c r="A82" s="2" t="s">
        <v>175</v>
      </c>
      <c r="B82" s="6"/>
      <c r="C82" s="6"/>
      <c r="D82" s="6">
        <v>0.16</v>
      </c>
      <c r="E82" s="6">
        <v>0.15</v>
      </c>
      <c r="F82" s="6">
        <v>0.27</v>
      </c>
      <c r="G82" s="6">
        <v>0.18</v>
      </c>
      <c r="H82" s="6">
        <v>0.46</v>
      </c>
      <c r="I82" s="6"/>
      <c r="J82" s="6"/>
      <c r="K82" s="6"/>
      <c r="L82" s="6"/>
      <c r="M82" s="6" t="s">
        <v>192</v>
      </c>
      <c r="N82" s="6" t="s">
        <v>193</v>
      </c>
    </row>
    <row r="83" spans="1:12" ht="12.75">
      <c r="A83" s="2" t="s">
        <v>173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2" t="s">
        <v>179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2" t="s">
        <v>180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2" t="s">
        <v>178</v>
      </c>
      <c r="B87" s="6"/>
      <c r="C87" s="6"/>
      <c r="D87" s="6"/>
      <c r="E87" s="6"/>
      <c r="F87" s="6"/>
      <c r="G87" s="6"/>
      <c r="H87" s="6"/>
      <c r="I87" s="6">
        <v>12</v>
      </c>
      <c r="J87" s="6">
        <v>3.5</v>
      </c>
      <c r="K87" s="6"/>
      <c r="L87" s="6"/>
    </row>
    <row r="88" spans="1:12" ht="12.75">
      <c r="A88" s="2" t="s">
        <v>177</v>
      </c>
      <c r="B88" s="6"/>
      <c r="C88" s="6"/>
      <c r="D88" s="6"/>
      <c r="E88" s="6"/>
      <c r="F88" s="6"/>
      <c r="G88" s="6"/>
      <c r="H88" s="6"/>
      <c r="I88" s="6">
        <v>3.5</v>
      </c>
      <c r="J88" s="6">
        <v>45</v>
      </c>
      <c r="K88" s="6"/>
      <c r="L88" s="6"/>
    </row>
    <row r="90" ht="12.75">
      <c r="A90" s="2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67">
      <selection activeCell="A91" sqref="A91"/>
    </sheetView>
  </sheetViews>
  <sheetFormatPr defaultColWidth="9.140625" defaultRowHeight="12.75"/>
  <cols>
    <col min="2" max="15" width="6.421875" style="0" customWidth="1"/>
  </cols>
  <sheetData>
    <row r="1" ht="15">
      <c r="A1" s="16" t="s">
        <v>5</v>
      </c>
    </row>
    <row r="2" spans="1:15" ht="12.75">
      <c r="A2" s="12"/>
      <c r="B2" s="6"/>
      <c r="C2" s="6">
        <v>26</v>
      </c>
      <c r="D2" s="6">
        <v>457</v>
      </c>
      <c r="E2" s="6">
        <v>458</v>
      </c>
      <c r="F2" s="6">
        <v>459</v>
      </c>
      <c r="G2" s="6">
        <v>461</v>
      </c>
      <c r="H2" s="6">
        <v>462</v>
      </c>
      <c r="I2" s="6">
        <v>463</v>
      </c>
      <c r="J2" s="6">
        <v>464</v>
      </c>
      <c r="K2" s="6">
        <v>465</v>
      </c>
      <c r="L2" s="6">
        <v>466</v>
      </c>
      <c r="M2" s="6">
        <v>467</v>
      </c>
      <c r="N2" s="6">
        <v>468</v>
      </c>
      <c r="O2" s="6" t="s">
        <v>8</v>
      </c>
    </row>
    <row r="3" spans="1:15" s="6" customFormat="1" ht="12.75">
      <c r="A3" s="30" t="s">
        <v>103</v>
      </c>
      <c r="B3" s="6">
        <v>1</v>
      </c>
      <c r="C3" s="6">
        <v>2</v>
      </c>
      <c r="D3" s="6">
        <v>2</v>
      </c>
      <c r="E3" s="6">
        <v>2</v>
      </c>
      <c r="F3" s="6">
        <v>2</v>
      </c>
      <c r="G3" s="6">
        <v>2</v>
      </c>
      <c r="H3" s="6">
        <v>2</v>
      </c>
      <c r="I3" s="6">
        <v>2</v>
      </c>
      <c r="J3" s="6">
        <v>2</v>
      </c>
      <c r="K3" s="6">
        <v>2</v>
      </c>
      <c r="L3" s="6">
        <v>2</v>
      </c>
      <c r="M3" s="6">
        <v>2</v>
      </c>
      <c r="N3" s="6">
        <v>2</v>
      </c>
      <c r="O3" s="6">
        <v>2</v>
      </c>
    </row>
    <row r="4" s="6" customFormat="1" ht="12.75">
      <c r="A4" s="30" t="s">
        <v>104</v>
      </c>
    </row>
    <row r="5" spans="1:15" s="6" customFormat="1" ht="12.75">
      <c r="A5" s="30" t="s">
        <v>243</v>
      </c>
      <c r="B5" s="6" t="s">
        <v>7</v>
      </c>
      <c r="C5" s="6" t="s">
        <v>215</v>
      </c>
      <c r="D5" s="6" t="s">
        <v>215</v>
      </c>
      <c r="E5" s="6" t="s">
        <v>215</v>
      </c>
      <c r="F5" s="6" t="s">
        <v>215</v>
      </c>
      <c r="G5" s="6" t="s">
        <v>215</v>
      </c>
      <c r="H5" s="6" t="s">
        <v>215</v>
      </c>
      <c r="I5" s="6" t="s">
        <v>215</v>
      </c>
      <c r="J5" s="6" t="s">
        <v>215</v>
      </c>
      <c r="K5" s="6" t="s">
        <v>215</v>
      </c>
      <c r="L5" s="6" t="s">
        <v>215</v>
      </c>
      <c r="M5" s="6" t="s">
        <v>215</v>
      </c>
      <c r="N5" s="6" t="s">
        <v>215</v>
      </c>
      <c r="O5" s="6" t="s">
        <v>215</v>
      </c>
    </row>
    <row r="6" spans="1:15" ht="12.75">
      <c r="A6" s="1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12" t="s">
        <v>244</v>
      </c>
      <c r="B7" s="6">
        <v>44.3</v>
      </c>
      <c r="C7" s="19">
        <f>20.9*60.09/28.09</f>
        <v>44.70918476326095</v>
      </c>
      <c r="D7" s="19">
        <f>21*60.09/28.09</f>
        <v>44.923104307582776</v>
      </c>
      <c r="E7" s="19">
        <f>21*60.09/28.09</f>
        <v>44.923104307582776</v>
      </c>
      <c r="F7" s="19">
        <f>21.1*60.09/28.09</f>
        <v>45.137023851904594</v>
      </c>
      <c r="G7" s="19">
        <f>21*60.09/28.09</f>
        <v>44.923104307582776</v>
      </c>
      <c r="H7" s="19">
        <f>21*60.09/28.09</f>
        <v>44.923104307582776</v>
      </c>
      <c r="I7" s="19">
        <f>21*60.09/28.09</f>
        <v>44.923104307582776</v>
      </c>
      <c r="J7" s="19">
        <f>21*60.09/28.09</f>
        <v>44.923104307582776</v>
      </c>
      <c r="K7" s="19">
        <f>20.9*60.09/28.09</f>
        <v>44.70918476326095</v>
      </c>
      <c r="L7" s="19">
        <f>20.9*60.09/28.09</f>
        <v>44.70918476326095</v>
      </c>
      <c r="M7" s="19">
        <f>20.9*60.09/28.09</f>
        <v>44.70918476326095</v>
      </c>
      <c r="N7" s="19">
        <f>21*60.09/28.09</f>
        <v>44.923104307582776</v>
      </c>
      <c r="O7" s="19">
        <f>21*60.09/28.09</f>
        <v>44.923104307582776</v>
      </c>
    </row>
    <row r="8" spans="1:15" ht="15">
      <c r="A8" s="12" t="s">
        <v>245</v>
      </c>
      <c r="B8" s="6">
        <v>0.22</v>
      </c>
      <c r="C8" s="19">
        <f>0.17*79.9/47.9</f>
        <v>0.2835699373695199</v>
      </c>
      <c r="D8" s="19">
        <f>0.1*79.9/47.9</f>
        <v>0.16680584551148228</v>
      </c>
      <c r="E8" s="19">
        <f>0.13*79.9/47.9</f>
        <v>0.21684759916492694</v>
      </c>
      <c r="F8" s="19">
        <f>0.13*79.9/47.9</f>
        <v>0.21684759916492694</v>
      </c>
      <c r="G8" s="19">
        <f>0.13*79.9/47.9</f>
        <v>0.21684759916492694</v>
      </c>
      <c r="H8" s="19">
        <f>0.12*79.9/47.9</f>
        <v>0.20016701461377873</v>
      </c>
      <c r="I8" s="19">
        <f>0.1*79.9/47.9</f>
        <v>0.16680584551148228</v>
      </c>
      <c r="J8" s="19">
        <f>0.12*79.9/47.9</f>
        <v>0.20016701461377873</v>
      </c>
      <c r="K8" s="19">
        <f>0.12*79.9/47.9</f>
        <v>0.20016701461377873</v>
      </c>
      <c r="L8" s="19">
        <f>0.14*79.9/47.9</f>
        <v>0.2335281837160752</v>
      </c>
      <c r="M8" s="19">
        <f>0.11*79.9/47.9</f>
        <v>0.18348643006263052</v>
      </c>
      <c r="N8" s="19">
        <f>0.14*79.9/47.9</f>
        <v>0.2335281837160752</v>
      </c>
      <c r="O8" s="19">
        <f>0.12*79.9/47.9</f>
        <v>0.20016701461377873</v>
      </c>
    </row>
    <row r="9" spans="1:15" ht="15">
      <c r="A9" s="12" t="s">
        <v>56</v>
      </c>
      <c r="B9" s="6">
        <v>29.6</v>
      </c>
      <c r="C9" s="19">
        <f>14.3*102/2/27</f>
        <v>27.011111111111113</v>
      </c>
      <c r="D9" s="19">
        <f>15*102/2/27</f>
        <v>28.333333333333332</v>
      </c>
      <c r="E9" s="19">
        <f>15.3*102/2/27</f>
        <v>28.900000000000002</v>
      </c>
      <c r="F9" s="19">
        <f>15.5*102/2/27</f>
        <v>29.27777777777778</v>
      </c>
      <c r="G9" s="19">
        <f>15.5*102/2/27</f>
        <v>29.27777777777778</v>
      </c>
      <c r="H9" s="19">
        <f>15.3*102/2/27</f>
        <v>28.900000000000002</v>
      </c>
      <c r="I9" s="19">
        <f>15.5*102/2/27</f>
        <v>29.27777777777778</v>
      </c>
      <c r="J9" s="19">
        <f>15.4*102/2/27</f>
        <v>29.08888888888889</v>
      </c>
      <c r="K9" s="19">
        <f>15.5*102/2/27</f>
        <v>29.27777777777778</v>
      </c>
      <c r="L9" s="19">
        <f>15.6*102/2/27</f>
        <v>29.46666666666667</v>
      </c>
      <c r="M9" s="19">
        <f>15.1*102/2/27</f>
        <v>28.522222222222222</v>
      </c>
      <c r="N9" s="19">
        <f>15.1*102/2/27</f>
        <v>28.522222222222222</v>
      </c>
      <c r="O9" s="19">
        <f>15.4*102/2/27</f>
        <v>29.08888888888889</v>
      </c>
    </row>
    <row r="10" spans="1:15" ht="12.75">
      <c r="A10" s="12" t="s">
        <v>105</v>
      </c>
      <c r="B10" s="6">
        <v>4.06</v>
      </c>
      <c r="C10" s="19">
        <f>3.65*71.85/55.85</f>
        <v>4.695658012533572</v>
      </c>
      <c r="D10" s="19">
        <f>3.39*71.85/55.85</f>
        <v>4.361172784243509</v>
      </c>
      <c r="E10" s="19">
        <f>3.19*71.85/55.85</f>
        <v>4.1038764547896145</v>
      </c>
      <c r="F10" s="19">
        <f>3.08*71.85/55.85</f>
        <v>3.9623634735899724</v>
      </c>
      <c r="G10" s="19">
        <f>3.17*71.85/55.85</f>
        <v>4.078146821844225</v>
      </c>
      <c r="H10" s="19">
        <f>3.28*71.85/55.85</f>
        <v>4.219659803043867</v>
      </c>
      <c r="I10" s="19">
        <f>3.03*71.85/55.85</f>
        <v>3.898039391226499</v>
      </c>
      <c r="J10" s="19">
        <f>3.13*71.85/55.85</f>
        <v>4.026687555953446</v>
      </c>
      <c r="K10" s="19">
        <f>3.11*71.85/55.85</f>
        <v>4.000957923008056</v>
      </c>
      <c r="L10" s="19">
        <f>2.94*71.85/55.85</f>
        <v>3.7822560429722465</v>
      </c>
      <c r="M10" s="19">
        <f>3.39*71.85/55.85</f>
        <v>4.361172784243509</v>
      </c>
      <c r="N10" s="19">
        <f>3.12*71.85/55.85</f>
        <v>4.0138227394807515</v>
      </c>
      <c r="O10" s="19">
        <f>3.15*71.85/55.85</f>
        <v>4.052417188898835</v>
      </c>
    </row>
    <row r="11" spans="1:15" ht="12.75">
      <c r="A11" s="12" t="s">
        <v>106</v>
      </c>
      <c r="B11" s="6">
        <v>0.06</v>
      </c>
      <c r="C11" s="19">
        <f>0.053*74.7/58.7</f>
        <v>0.06744633730834752</v>
      </c>
      <c r="D11" s="19">
        <f>0.054*74.7/58.7</f>
        <v>0.06871890971039182</v>
      </c>
      <c r="E11" s="19">
        <f>0.052*74.7/58.7</f>
        <v>0.06617376490630324</v>
      </c>
      <c r="F11" s="19">
        <f>0.059*74.7/58.7</f>
        <v>0.07508177172061328</v>
      </c>
      <c r="G11" s="19">
        <f>0.047*74.7/58.7</f>
        <v>0.05981090289608178</v>
      </c>
      <c r="H11" s="19">
        <f>0.045*74.7/58.7</f>
        <v>0.057265758091993184</v>
      </c>
      <c r="I11" s="19">
        <f>0.045*74.7/58.7</f>
        <v>0.057265758091993184</v>
      </c>
      <c r="J11" s="19">
        <f>0.046*74.7/58.7</f>
        <v>0.05853833049403748</v>
      </c>
      <c r="K11" s="19">
        <f>0.055*74.7/58.7</f>
        <v>0.06999148211243612</v>
      </c>
      <c r="L11" s="19">
        <f>0.043*74.7/58.7</f>
        <v>0.0547206132879046</v>
      </c>
      <c r="M11" s="19">
        <f>0.054*74.7/58.7</f>
        <v>0.06871890971039182</v>
      </c>
      <c r="N11" s="19">
        <f>0.048*74.7/58.7</f>
        <v>0.06108347529812607</v>
      </c>
      <c r="O11" s="19">
        <f>0.049*74.7/58.7</f>
        <v>0.06235604770017036</v>
      </c>
    </row>
    <row r="12" spans="1:15" ht="12.75">
      <c r="A12" s="12" t="s">
        <v>108</v>
      </c>
      <c r="B12" s="6">
        <v>3.92</v>
      </c>
      <c r="C12" s="19">
        <f>4*40.3/24.3</f>
        <v>6.633744855967078</v>
      </c>
      <c r="D12" s="19">
        <f>2.55*40.3/24.3</f>
        <v>4.229012345679012</v>
      </c>
      <c r="E12" s="19">
        <f>2.48*40.3/24.3</f>
        <v>4.1129218106995875</v>
      </c>
      <c r="F12" s="19">
        <f>2.4*40.3/24.3</f>
        <v>3.9802469135802463</v>
      </c>
      <c r="G12" s="19">
        <f>2.4*40.3/24.3</f>
        <v>3.9802469135802463</v>
      </c>
      <c r="H12" s="19">
        <f>2.49*40.3/24.3</f>
        <v>4.129506172839506</v>
      </c>
      <c r="I12" s="19">
        <f>2.4*40.3/24.3</f>
        <v>3.9802469135802463</v>
      </c>
      <c r="J12" s="19">
        <f>2.5*40.3/24.3</f>
        <v>4.1460905349794235</v>
      </c>
      <c r="K12" s="19">
        <f>2.4*40.3/24.3</f>
        <v>3.9802469135802463</v>
      </c>
      <c r="L12" s="19">
        <f>2.18*40.3/24.3</f>
        <v>3.6153909465020573</v>
      </c>
      <c r="M12" s="19">
        <f>2.6*40.3/24.3</f>
        <v>4.311934156378601</v>
      </c>
      <c r="N12" s="19">
        <f>2.5*40.3/24.3</f>
        <v>4.1460905349794235</v>
      </c>
      <c r="O12" s="19">
        <f>2.45*40.3/24.3</f>
        <v>4.063168724279835</v>
      </c>
    </row>
    <row r="13" spans="1:15" ht="12.75">
      <c r="A13" s="12" t="s">
        <v>107</v>
      </c>
      <c r="B13" s="6">
        <v>17</v>
      </c>
      <c r="C13" s="19">
        <f>11.6*56.08/40.08</f>
        <v>16.23073852295409</v>
      </c>
      <c r="D13" s="19">
        <f>12.1*56.08/40.08</f>
        <v>16.930339321357287</v>
      </c>
      <c r="E13" s="19">
        <f>12*56.08/40.08</f>
        <v>16.79041916167665</v>
      </c>
      <c r="F13" s="19">
        <f>11.9*56.08/40.08</f>
        <v>16.650499001996007</v>
      </c>
      <c r="G13" s="19">
        <f>11.9*56.08/40.08</f>
        <v>16.650499001996007</v>
      </c>
      <c r="H13" s="19">
        <f>12.1*56.08/40.08</f>
        <v>16.930339321357287</v>
      </c>
      <c r="I13" s="19">
        <f>12*56.08/40.08</f>
        <v>16.79041916167665</v>
      </c>
      <c r="J13" s="19">
        <f>12*56.08/40.08</f>
        <v>16.79041916167665</v>
      </c>
      <c r="K13" s="19">
        <f>12.2*56.08/40.08</f>
        <v>17.070259481037922</v>
      </c>
      <c r="L13" s="19">
        <f>12.4*56.08/40.08</f>
        <v>17.350099800399203</v>
      </c>
      <c r="M13" s="19">
        <f>12.1*56.08/40.08</f>
        <v>16.930339321357287</v>
      </c>
      <c r="N13" s="19">
        <f>12*56.08/40.08</f>
        <v>16.79041916167665</v>
      </c>
      <c r="O13" s="19">
        <f>12.1*56.08/40.08</f>
        <v>16.930339321357287</v>
      </c>
    </row>
    <row r="14" spans="1:15" ht="15">
      <c r="A14" s="12" t="s">
        <v>57</v>
      </c>
      <c r="B14" s="6">
        <v>0.24</v>
      </c>
      <c r="C14" s="19">
        <f>0.25*61.98/2/23</f>
        <v>0.3368478260869565</v>
      </c>
      <c r="D14" s="19">
        <f>0.242*61.98/2/23</f>
        <v>0.3260686956521739</v>
      </c>
      <c r="E14" s="19">
        <f>0.239*61.98/2/23</f>
        <v>0.32202652173913043</v>
      </c>
      <c r="F14" s="19">
        <f>0.231*61.98/2/23</f>
        <v>0.3112473913043478</v>
      </c>
      <c r="G14" s="19">
        <f>0.228*61.98/2/23</f>
        <v>0.30720521739130435</v>
      </c>
      <c r="H14" s="19">
        <f>0.233*61.98/2/23</f>
        <v>0.31394217391304347</v>
      </c>
      <c r="I14" s="19">
        <f>0.161*61.98/2/23</f>
        <v>0.21693</v>
      </c>
      <c r="J14" s="19">
        <f>0.236*61.98/2/23</f>
        <v>0.3179843478260869</v>
      </c>
      <c r="K14" s="19">
        <f>0.237*61.98/2/23</f>
        <v>0.3193317391304348</v>
      </c>
      <c r="L14" s="19">
        <f>0.225*61.98/2/23</f>
        <v>0.30316304347826084</v>
      </c>
      <c r="M14" s="19">
        <f>0.224*61.98/2/23</f>
        <v>0.30181565217391304</v>
      </c>
      <c r="N14" s="19">
        <f>0.222*61.98/2/23</f>
        <v>0.2991208695652174</v>
      </c>
      <c r="O14" s="19">
        <f>0.224*61.98/2/23</f>
        <v>0.30181565217391304</v>
      </c>
    </row>
    <row r="15" spans="1:15" ht="15">
      <c r="A15" s="12" t="s">
        <v>58</v>
      </c>
      <c r="B15" s="6">
        <v>0.08</v>
      </c>
      <c r="C15" s="19">
        <f>0.038*94.2/2/39.1</f>
        <v>0.045774936061381076</v>
      </c>
      <c r="D15" s="19">
        <f>0.032*94.2/2/39.1</f>
        <v>0.038547314578005115</v>
      </c>
      <c r="E15" s="19">
        <f>0.033*94.2/2/39.1</f>
        <v>0.039751918158567774</v>
      </c>
      <c r="F15" s="19">
        <f>0.031*94.2/2/39.1</f>
        <v>0.03734271099744245</v>
      </c>
      <c r="G15" s="19">
        <f>0.031*94.2/2/39.1</f>
        <v>0.03734271099744245</v>
      </c>
      <c r="H15" s="19">
        <f>0.028*94.2/2/39.1</f>
        <v>0.03372890025575447</v>
      </c>
      <c r="I15" s="19">
        <f>0.026*94.2/2/39.1</f>
        <v>0.031319693094629154</v>
      </c>
      <c r="J15" s="19">
        <f>0.029*94.2/2/39.1</f>
        <v>0.03493350383631714</v>
      </c>
      <c r="K15" s="19">
        <f>0.032*94.2/2/39.1</f>
        <v>0.038547314578005115</v>
      </c>
      <c r="L15" s="19">
        <f>0.028*94.2/2/39.1</f>
        <v>0.03372890025575447</v>
      </c>
      <c r="M15" s="19">
        <f>0.031*94.2/2/39.1</f>
        <v>0.03734271099744245</v>
      </c>
      <c r="N15" s="19">
        <f>0.033*94.2/2/39.1</f>
        <v>0.039751918158567774</v>
      </c>
      <c r="O15" s="19">
        <f>0.03*94.2/2/39.1</f>
        <v>0.0361381074168798</v>
      </c>
    </row>
    <row r="16" spans="1:15" ht="15">
      <c r="A16" s="12" t="s">
        <v>59</v>
      </c>
      <c r="B16" s="6">
        <v>0.05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12" t="s">
        <v>181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12" t="s">
        <v>109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2" t="s">
        <v>163</v>
      </c>
      <c r="B20" s="6">
        <v>7.9</v>
      </c>
      <c r="C20" s="6">
        <v>8.7</v>
      </c>
      <c r="D20" s="6">
        <v>8.3</v>
      </c>
      <c r="E20" s="6">
        <v>7.5</v>
      </c>
      <c r="F20" s="6">
        <v>7.9</v>
      </c>
      <c r="G20" s="6">
        <v>7.4</v>
      </c>
      <c r="H20" s="6">
        <v>7.6</v>
      </c>
      <c r="I20" s="6">
        <v>7.5</v>
      </c>
      <c r="J20" s="6">
        <v>7.8</v>
      </c>
      <c r="K20" s="6">
        <v>7.8</v>
      </c>
      <c r="L20" s="6">
        <v>7.1</v>
      </c>
      <c r="M20" s="6">
        <v>7.7</v>
      </c>
      <c r="N20" s="6">
        <v>7.5</v>
      </c>
      <c r="O20" s="6">
        <v>7.6</v>
      </c>
    </row>
    <row r="21" spans="1:15" ht="12.75">
      <c r="A21" s="12" t="s">
        <v>110</v>
      </c>
      <c r="B21" s="6"/>
      <c r="C21" s="6" t="s">
        <v>222</v>
      </c>
      <c r="D21" s="6">
        <v>16</v>
      </c>
      <c r="E21" s="6">
        <v>18</v>
      </c>
      <c r="F21" s="6">
        <v>15</v>
      </c>
      <c r="G21" s="6">
        <v>15</v>
      </c>
      <c r="H21" s="6">
        <v>20</v>
      </c>
      <c r="I21" s="6">
        <v>20</v>
      </c>
      <c r="J21" s="6">
        <v>18</v>
      </c>
      <c r="K21" s="6">
        <v>23</v>
      </c>
      <c r="L21" s="6">
        <v>18</v>
      </c>
      <c r="M21" s="6">
        <v>22</v>
      </c>
      <c r="N21" s="6">
        <v>18</v>
      </c>
      <c r="O21" s="6">
        <v>19</v>
      </c>
    </row>
    <row r="22" spans="1:15" ht="12.75">
      <c r="A22" s="12" t="s">
        <v>111</v>
      </c>
      <c r="B22" s="21">
        <v>497</v>
      </c>
      <c r="C22" s="6">
        <v>630</v>
      </c>
      <c r="D22" s="6">
        <v>620</v>
      </c>
      <c r="E22" s="6">
        <v>560</v>
      </c>
      <c r="F22" s="6">
        <v>610</v>
      </c>
      <c r="G22" s="6">
        <v>550</v>
      </c>
      <c r="H22" s="6">
        <v>570</v>
      </c>
      <c r="I22" s="6">
        <v>570</v>
      </c>
      <c r="J22" s="6">
        <v>590</v>
      </c>
      <c r="K22" s="6">
        <v>590</v>
      </c>
      <c r="L22" s="6">
        <v>520</v>
      </c>
      <c r="M22" s="6">
        <v>580</v>
      </c>
      <c r="N22" s="6">
        <v>550</v>
      </c>
      <c r="O22" s="6">
        <v>570</v>
      </c>
    </row>
    <row r="23" spans="1:15" ht="12.75">
      <c r="A23" s="12" t="s">
        <v>112</v>
      </c>
      <c r="B23" s="6">
        <v>13.6</v>
      </c>
      <c r="C23" s="6">
        <v>16.2</v>
      </c>
      <c r="D23" s="6">
        <v>17.3</v>
      </c>
      <c r="E23" s="6">
        <v>16</v>
      </c>
      <c r="F23" s="6">
        <v>16.6</v>
      </c>
      <c r="G23" s="6">
        <v>14.8</v>
      </c>
      <c r="H23" s="6">
        <v>16.4</v>
      </c>
      <c r="I23" s="6">
        <v>16</v>
      </c>
      <c r="J23" s="6">
        <v>15.5</v>
      </c>
      <c r="K23" s="6">
        <v>16</v>
      </c>
      <c r="L23" s="6">
        <v>13.2</v>
      </c>
      <c r="M23" s="6">
        <v>15.7</v>
      </c>
      <c r="N23" s="6">
        <v>17</v>
      </c>
      <c r="O23" s="6">
        <v>15.6</v>
      </c>
    </row>
    <row r="24" spans="1:15" ht="12.75">
      <c r="A24" s="12" t="s">
        <v>113</v>
      </c>
      <c r="B24" s="6">
        <v>170</v>
      </c>
      <c r="C24" s="6">
        <v>155</v>
      </c>
      <c r="D24" s="6">
        <v>153</v>
      </c>
      <c r="E24" s="6">
        <v>138</v>
      </c>
      <c r="F24" s="6">
        <v>125</v>
      </c>
      <c r="G24" s="6">
        <v>116</v>
      </c>
      <c r="H24" s="6">
        <v>147</v>
      </c>
      <c r="I24" s="6">
        <v>134</v>
      </c>
      <c r="J24" s="6">
        <v>127</v>
      </c>
      <c r="K24" s="6">
        <v>127</v>
      </c>
      <c r="L24" s="6">
        <v>118</v>
      </c>
      <c r="M24" s="6">
        <v>136</v>
      </c>
      <c r="N24" s="6">
        <v>174</v>
      </c>
      <c r="O24" s="6">
        <v>134</v>
      </c>
    </row>
    <row r="25" spans="1:15" ht="12.75">
      <c r="A25" s="12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12" t="s">
        <v>115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12" t="s">
        <v>116</v>
      </c>
      <c r="B27" s="6"/>
      <c r="C27" s="6">
        <v>3.7</v>
      </c>
      <c r="D27" s="6">
        <v>4.3</v>
      </c>
      <c r="E27" s="6">
        <v>3.8</v>
      </c>
      <c r="F27" s="6">
        <v>3.3</v>
      </c>
      <c r="G27" s="6">
        <v>3.1</v>
      </c>
      <c r="H27" s="6">
        <v>3.8</v>
      </c>
      <c r="I27" s="6">
        <v>3.9</v>
      </c>
      <c r="J27" s="6">
        <v>3.7</v>
      </c>
      <c r="K27" s="6">
        <v>3.5</v>
      </c>
      <c r="L27" s="6">
        <v>2.7</v>
      </c>
      <c r="M27" s="6">
        <v>3.4</v>
      </c>
      <c r="N27" s="6">
        <v>3.3</v>
      </c>
      <c r="O27" s="6">
        <v>3.5</v>
      </c>
    </row>
    <row r="28" spans="1:15" ht="12.75">
      <c r="A28" s="12" t="s">
        <v>117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12" t="s">
        <v>118</v>
      </c>
      <c r="B29" s="6"/>
      <c r="C29" s="6" t="s">
        <v>9</v>
      </c>
      <c r="D29" s="6" t="s">
        <v>10</v>
      </c>
      <c r="E29" s="6">
        <v>0.18</v>
      </c>
      <c r="F29" s="6">
        <v>0.1</v>
      </c>
      <c r="G29" s="6" t="s">
        <v>11</v>
      </c>
      <c r="H29" s="6" t="s">
        <v>12</v>
      </c>
      <c r="I29" s="6">
        <v>0.17</v>
      </c>
      <c r="J29" s="6" t="s">
        <v>209</v>
      </c>
      <c r="K29" s="6" t="s">
        <v>13</v>
      </c>
      <c r="L29" s="6" t="s">
        <v>192</v>
      </c>
      <c r="M29" s="6" t="s">
        <v>14</v>
      </c>
      <c r="N29" s="6">
        <v>0.15</v>
      </c>
      <c r="O29" s="6"/>
    </row>
    <row r="30" spans="1:15" ht="12.75">
      <c r="A30" s="12" t="s">
        <v>119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12" t="s">
        <v>120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12" t="s">
        <v>121</v>
      </c>
      <c r="B32" s="6">
        <v>175</v>
      </c>
      <c r="C32" s="6">
        <v>128</v>
      </c>
      <c r="D32" s="6">
        <v>209</v>
      </c>
      <c r="E32" s="6">
        <v>254</v>
      </c>
      <c r="F32" s="6">
        <v>540</v>
      </c>
      <c r="G32" s="6">
        <v>350</v>
      </c>
      <c r="H32" s="6">
        <v>206</v>
      </c>
      <c r="I32" s="6">
        <v>890</v>
      </c>
      <c r="J32" s="6">
        <v>630</v>
      </c>
      <c r="K32" s="6">
        <v>670</v>
      </c>
      <c r="L32" s="6">
        <v>310</v>
      </c>
      <c r="M32" s="6">
        <v>300</v>
      </c>
      <c r="N32" s="6">
        <v>1260</v>
      </c>
      <c r="O32" s="6">
        <v>497</v>
      </c>
    </row>
    <row r="33" spans="1:15" ht="12.75">
      <c r="A33" s="12" t="s">
        <v>122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12" t="s">
        <v>123</v>
      </c>
      <c r="B34" s="6">
        <v>27</v>
      </c>
      <c r="C34" s="6">
        <v>56</v>
      </c>
      <c r="D34" s="6">
        <v>34</v>
      </c>
      <c r="E34" s="6">
        <v>46</v>
      </c>
      <c r="F34" s="6">
        <v>16</v>
      </c>
      <c r="G34" s="6" t="s">
        <v>203</v>
      </c>
      <c r="H34" s="6">
        <v>39</v>
      </c>
      <c r="I34" s="6">
        <v>33</v>
      </c>
      <c r="J34" s="6">
        <v>33</v>
      </c>
      <c r="K34" s="6">
        <v>33</v>
      </c>
      <c r="L34" s="6">
        <v>30</v>
      </c>
      <c r="M34" s="6">
        <v>36</v>
      </c>
      <c r="N34" s="6">
        <v>49</v>
      </c>
      <c r="O34" s="6">
        <v>35</v>
      </c>
    </row>
    <row r="35" spans="1:15" ht="12.75">
      <c r="A35" s="12" t="s">
        <v>124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12" t="s">
        <v>125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12" t="s">
        <v>167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12" t="s">
        <v>168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12" t="s">
        <v>126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12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12" t="s">
        <v>128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12" t="s">
        <v>129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12" t="s">
        <v>164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12" t="s">
        <v>130</v>
      </c>
      <c r="B44" s="6"/>
      <c r="C44" s="6">
        <v>42</v>
      </c>
      <c r="D44" s="6" t="s">
        <v>15</v>
      </c>
      <c r="E44" s="6">
        <v>48</v>
      </c>
      <c r="F44" s="6">
        <v>40</v>
      </c>
      <c r="G44" s="6">
        <v>21</v>
      </c>
      <c r="H44" s="6">
        <v>34</v>
      </c>
      <c r="I44" s="6">
        <v>24</v>
      </c>
      <c r="J44" s="6" t="s">
        <v>16</v>
      </c>
      <c r="K44" s="6" t="s">
        <v>17</v>
      </c>
      <c r="L44" s="6">
        <v>36</v>
      </c>
      <c r="M44" s="6" t="s">
        <v>17</v>
      </c>
      <c r="N44" s="6">
        <v>66</v>
      </c>
      <c r="O44" s="6">
        <v>38</v>
      </c>
    </row>
    <row r="45" spans="1:15" ht="12.75">
      <c r="A45" s="12" t="s">
        <v>131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12" t="s">
        <v>132</v>
      </c>
      <c r="B46" s="6">
        <v>0.44</v>
      </c>
      <c r="C46" s="6" t="s">
        <v>206</v>
      </c>
      <c r="D46" s="6">
        <v>0.126</v>
      </c>
      <c r="E46" s="6">
        <v>0.071</v>
      </c>
      <c r="F46" s="6">
        <v>0.085</v>
      </c>
      <c r="G46" s="6">
        <v>0.082</v>
      </c>
      <c r="H46" s="6">
        <v>0.081</v>
      </c>
      <c r="I46" s="6">
        <v>0.082</v>
      </c>
      <c r="J46" s="6">
        <v>0.074</v>
      </c>
      <c r="K46" s="6">
        <v>0.085</v>
      </c>
      <c r="L46" s="6">
        <v>0.058</v>
      </c>
      <c r="M46" s="6">
        <v>0.069</v>
      </c>
      <c r="N46" s="6" t="s">
        <v>18</v>
      </c>
      <c r="O46" s="6">
        <v>0.078</v>
      </c>
    </row>
    <row r="47" spans="1:15" ht="12.75">
      <c r="A47" s="12" t="s">
        <v>133</v>
      </c>
      <c r="B47" s="6">
        <v>30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12" t="s">
        <v>134</v>
      </c>
      <c r="B48" s="6">
        <v>2.9</v>
      </c>
      <c r="C48" s="6">
        <v>3.1</v>
      </c>
      <c r="D48" s="6">
        <v>3.8</v>
      </c>
      <c r="E48" s="6">
        <v>3.06</v>
      </c>
      <c r="F48" s="6">
        <v>2.48</v>
      </c>
      <c r="G48" s="6">
        <v>2.3</v>
      </c>
      <c r="H48" s="6">
        <v>2.66</v>
      </c>
      <c r="I48" s="6">
        <v>2.5</v>
      </c>
      <c r="J48" s="6">
        <v>2.92</v>
      </c>
      <c r="K48" s="6">
        <v>2.95</v>
      </c>
      <c r="L48" s="6">
        <v>2.3</v>
      </c>
      <c r="M48" s="6">
        <v>3.08</v>
      </c>
      <c r="N48" s="6">
        <v>2.57</v>
      </c>
      <c r="O48" s="6">
        <v>2.76</v>
      </c>
    </row>
    <row r="49" spans="1:15" ht="12.75">
      <c r="A49" s="12" t="s">
        <v>135</v>
      </c>
      <c r="B49" s="6">
        <v>6.6</v>
      </c>
      <c r="C49" s="6">
        <v>7.3</v>
      </c>
      <c r="D49" s="6">
        <v>7.9</v>
      </c>
      <c r="E49" s="6">
        <v>6.8</v>
      </c>
      <c r="F49" s="6">
        <v>6.3</v>
      </c>
      <c r="G49" s="6">
        <v>5.8</v>
      </c>
      <c r="H49" s="6">
        <v>6.2</v>
      </c>
      <c r="I49" s="6">
        <v>6.1</v>
      </c>
      <c r="J49" s="6">
        <v>6.4</v>
      </c>
      <c r="K49" s="6">
        <v>6.1</v>
      </c>
      <c r="L49" s="6">
        <v>4.9</v>
      </c>
      <c r="M49" s="6">
        <v>6.3</v>
      </c>
      <c r="N49" s="6">
        <v>5.8</v>
      </c>
      <c r="O49" s="6">
        <v>6.2</v>
      </c>
    </row>
    <row r="50" spans="1:15" ht="12.75">
      <c r="A50" s="12" t="s">
        <v>136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12" t="s">
        <v>137</v>
      </c>
      <c r="B51" s="6">
        <v>3.8</v>
      </c>
      <c r="C51" s="6">
        <v>5</v>
      </c>
      <c r="D51" s="6">
        <v>5.3</v>
      </c>
      <c r="E51" s="6">
        <v>4</v>
      </c>
      <c r="F51" s="6">
        <v>3.2</v>
      </c>
      <c r="G51" s="6">
        <v>3.6</v>
      </c>
      <c r="H51" s="6">
        <v>3.6</v>
      </c>
      <c r="I51" s="6">
        <v>3.6</v>
      </c>
      <c r="J51" s="6">
        <v>4.1</v>
      </c>
      <c r="K51" s="6">
        <v>4.1</v>
      </c>
      <c r="L51" s="6">
        <v>3</v>
      </c>
      <c r="M51" s="6">
        <v>4.1</v>
      </c>
      <c r="N51" s="6">
        <v>3.8</v>
      </c>
      <c r="O51" s="6">
        <v>3.8</v>
      </c>
    </row>
    <row r="52" spans="1:15" ht="12.75">
      <c r="A52" s="12" t="s">
        <v>138</v>
      </c>
      <c r="B52" s="6">
        <v>1.1</v>
      </c>
      <c r="C52" s="6">
        <v>1.39</v>
      </c>
      <c r="D52" s="6">
        <v>1.45</v>
      </c>
      <c r="E52" s="6">
        <v>1.22</v>
      </c>
      <c r="F52" s="6">
        <v>1.09</v>
      </c>
      <c r="G52" s="6">
        <v>1.06</v>
      </c>
      <c r="H52" s="6">
        <v>1.16</v>
      </c>
      <c r="I52" s="6">
        <v>1.05</v>
      </c>
      <c r="J52" s="6">
        <v>1.24</v>
      </c>
      <c r="K52" s="6">
        <v>1.15</v>
      </c>
      <c r="L52" s="6">
        <v>0.94</v>
      </c>
      <c r="M52" s="6">
        <v>1.22</v>
      </c>
      <c r="N52" s="6">
        <v>1.08</v>
      </c>
      <c r="O52" s="6">
        <v>1.14</v>
      </c>
    </row>
    <row r="53" spans="1:15" ht="12.75">
      <c r="A53" s="12" t="s">
        <v>139</v>
      </c>
      <c r="B53" s="6">
        <v>1.1</v>
      </c>
      <c r="C53" s="6">
        <v>0.78</v>
      </c>
      <c r="D53" s="6">
        <v>0.86</v>
      </c>
      <c r="E53" s="6">
        <v>0.79</v>
      </c>
      <c r="F53" s="6">
        <v>0.78</v>
      </c>
      <c r="G53" s="6">
        <v>0.71</v>
      </c>
      <c r="H53" s="6">
        <v>0.79</v>
      </c>
      <c r="I53" s="6">
        <v>0.69</v>
      </c>
      <c r="J53" s="6">
        <v>0.76</v>
      </c>
      <c r="K53" s="6">
        <v>0.78</v>
      </c>
      <c r="L53" s="6">
        <v>0.75</v>
      </c>
      <c r="M53" s="6">
        <v>0.73</v>
      </c>
      <c r="N53" s="6">
        <v>0.73</v>
      </c>
      <c r="O53" s="6">
        <v>0.76</v>
      </c>
    </row>
    <row r="54" spans="1:15" ht="12.75">
      <c r="A54" s="12" t="s">
        <v>140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12" t="s">
        <v>141</v>
      </c>
      <c r="B55" s="6">
        <v>0.25</v>
      </c>
      <c r="C55" s="6">
        <v>0.27</v>
      </c>
      <c r="D55" s="6">
        <v>0.28</v>
      </c>
      <c r="E55" s="6">
        <v>0.26</v>
      </c>
      <c r="F55" s="6">
        <v>0.26</v>
      </c>
      <c r="G55" s="6">
        <v>0.25</v>
      </c>
      <c r="H55" s="6">
        <v>0.23</v>
      </c>
      <c r="I55" s="6">
        <v>0.25</v>
      </c>
      <c r="J55" s="6">
        <v>0.27</v>
      </c>
      <c r="K55" s="6">
        <v>0.25</v>
      </c>
      <c r="L55" s="6">
        <v>0.2</v>
      </c>
      <c r="M55" s="6">
        <v>0.27</v>
      </c>
      <c r="N55" s="6">
        <v>0.23</v>
      </c>
      <c r="O55" s="6">
        <v>0.25</v>
      </c>
    </row>
    <row r="56" spans="1:15" ht="12.75">
      <c r="A56" s="12" t="s">
        <v>142</v>
      </c>
      <c r="B56" s="6"/>
      <c r="C56" s="6" t="s">
        <v>19</v>
      </c>
      <c r="D56" s="6">
        <v>1.94</v>
      </c>
      <c r="E56" s="6">
        <v>1.76</v>
      </c>
      <c r="F56" s="6">
        <v>1.53</v>
      </c>
      <c r="G56" s="6">
        <v>1.8</v>
      </c>
      <c r="H56" s="6">
        <v>1.54</v>
      </c>
      <c r="I56" s="6">
        <v>1.08</v>
      </c>
      <c r="J56" s="6">
        <v>1.59</v>
      </c>
      <c r="K56" s="6">
        <v>1.41</v>
      </c>
      <c r="L56" s="6">
        <v>1.4</v>
      </c>
      <c r="M56" s="6">
        <v>1.8</v>
      </c>
      <c r="N56" s="6">
        <v>1.53</v>
      </c>
      <c r="O56" s="6">
        <v>1.55</v>
      </c>
    </row>
    <row r="57" spans="1:15" ht="12.75">
      <c r="A57" s="12" t="s">
        <v>143</v>
      </c>
      <c r="B57" s="6"/>
      <c r="C57" s="6">
        <v>0.35</v>
      </c>
      <c r="D57" s="6">
        <v>0.43</v>
      </c>
      <c r="E57" s="6">
        <v>0.37</v>
      </c>
      <c r="F57" s="6">
        <v>0.29</v>
      </c>
      <c r="G57" s="6">
        <v>0.29</v>
      </c>
      <c r="H57" s="6">
        <v>0.35</v>
      </c>
      <c r="I57" s="6">
        <v>0.26</v>
      </c>
      <c r="J57" s="6">
        <v>0.41</v>
      </c>
      <c r="K57" s="6">
        <v>0.31</v>
      </c>
      <c r="L57" s="6">
        <v>0.3</v>
      </c>
      <c r="M57" s="6">
        <v>0.32</v>
      </c>
      <c r="N57" s="6">
        <v>0.28</v>
      </c>
      <c r="O57" s="6">
        <v>0.33</v>
      </c>
    </row>
    <row r="58" spans="1:15" ht="12.75">
      <c r="A58" s="12" t="s">
        <v>144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12" t="s">
        <v>145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12" t="s">
        <v>146</v>
      </c>
      <c r="B60" s="6">
        <v>0.85</v>
      </c>
      <c r="C60" s="6">
        <v>1.01</v>
      </c>
      <c r="D60" s="6">
        <v>1.13</v>
      </c>
      <c r="E60" s="6">
        <v>0.94</v>
      </c>
      <c r="F60" s="6">
        <v>0.89</v>
      </c>
      <c r="G60" s="6">
        <v>0.88</v>
      </c>
      <c r="H60" s="6">
        <v>0.93</v>
      </c>
      <c r="I60" s="6">
        <v>0.83</v>
      </c>
      <c r="J60" s="6">
        <v>0.95</v>
      </c>
      <c r="K60" s="6">
        <v>0.87</v>
      </c>
      <c r="L60" s="6">
        <v>0.78</v>
      </c>
      <c r="M60" s="6">
        <v>0.92</v>
      </c>
      <c r="N60" s="6">
        <v>0.88</v>
      </c>
      <c r="O60" s="6">
        <v>0.9</v>
      </c>
    </row>
    <row r="61" spans="1:15" ht="12.75">
      <c r="A61" s="12" t="s">
        <v>147</v>
      </c>
      <c r="B61" s="6">
        <v>0.15</v>
      </c>
      <c r="C61" s="6">
        <v>0.15</v>
      </c>
      <c r="D61" s="6">
        <v>0.152</v>
      </c>
      <c r="E61" s="6">
        <v>0.134</v>
      </c>
      <c r="F61" s="6">
        <v>0.131</v>
      </c>
      <c r="G61" s="6">
        <v>0.126</v>
      </c>
      <c r="H61" s="6">
        <v>0.13</v>
      </c>
      <c r="I61" s="6">
        <v>0.123</v>
      </c>
      <c r="J61" s="6">
        <v>0.135</v>
      </c>
      <c r="K61" s="6">
        <v>0.124</v>
      </c>
      <c r="L61" s="6">
        <v>0.104</v>
      </c>
      <c r="M61" s="6">
        <v>0.136</v>
      </c>
      <c r="N61" s="6">
        <v>0.126</v>
      </c>
      <c r="O61" s="6">
        <v>0.127</v>
      </c>
    </row>
    <row r="62" spans="1:15" ht="12.75">
      <c r="A62" s="12" t="s">
        <v>148</v>
      </c>
      <c r="B62" s="6">
        <v>0.86</v>
      </c>
      <c r="C62" s="6">
        <v>0.99</v>
      </c>
      <c r="D62" s="6">
        <v>1.01</v>
      </c>
      <c r="E62" s="6">
        <v>0.83</v>
      </c>
      <c r="F62" s="6">
        <v>0.8</v>
      </c>
      <c r="G62" s="6">
        <v>0.8</v>
      </c>
      <c r="H62" s="6">
        <v>0.87</v>
      </c>
      <c r="I62" s="6">
        <v>0.79</v>
      </c>
      <c r="J62" s="6">
        <v>0.84</v>
      </c>
      <c r="K62" s="6">
        <v>0.77</v>
      </c>
      <c r="L62" s="6">
        <v>0.66</v>
      </c>
      <c r="M62" s="6">
        <v>0.9</v>
      </c>
      <c r="N62" s="6">
        <v>0.81</v>
      </c>
      <c r="O62" s="6">
        <v>0.81</v>
      </c>
    </row>
    <row r="63" spans="1:15" ht="12.75">
      <c r="A63" s="12" t="s">
        <v>149</v>
      </c>
      <c r="B63" s="6">
        <v>0.24</v>
      </c>
      <c r="C63" s="6">
        <v>0.1</v>
      </c>
      <c r="D63" s="6">
        <v>0.14</v>
      </c>
      <c r="E63" s="6">
        <v>0.116</v>
      </c>
      <c r="F63" s="6">
        <v>0.109</v>
      </c>
      <c r="G63" s="6">
        <v>0.101</v>
      </c>
      <c r="H63" s="6">
        <v>0.125</v>
      </c>
      <c r="I63" s="6">
        <v>0.106</v>
      </c>
      <c r="J63" s="6">
        <v>0.107</v>
      </c>
      <c r="K63" s="6">
        <v>0.095</v>
      </c>
      <c r="L63" s="6">
        <v>0.102</v>
      </c>
      <c r="M63" s="6">
        <v>0.116</v>
      </c>
      <c r="N63" s="6">
        <v>0.116</v>
      </c>
      <c r="O63" s="6">
        <v>0.111</v>
      </c>
    </row>
    <row r="64" spans="1:15" ht="12.75">
      <c r="A64" s="12" t="s">
        <v>150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12" t="s">
        <v>151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>
      <c r="A66" s="12" t="s">
        <v>152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>
      <c r="A67" s="12" t="s">
        <v>153</v>
      </c>
      <c r="B67" s="6">
        <v>6.3</v>
      </c>
      <c r="C67" s="6">
        <v>487</v>
      </c>
      <c r="D67" s="6">
        <v>13</v>
      </c>
      <c r="E67" s="6">
        <v>5.2</v>
      </c>
      <c r="F67" s="6">
        <v>5.6</v>
      </c>
      <c r="G67" s="6">
        <v>5.3</v>
      </c>
      <c r="H67" s="6">
        <v>6.3</v>
      </c>
      <c r="I67" s="6">
        <v>6.1</v>
      </c>
      <c r="J67" s="6">
        <v>5.5</v>
      </c>
      <c r="K67" s="6">
        <v>5.2</v>
      </c>
      <c r="L67" s="6">
        <v>4.6</v>
      </c>
      <c r="M67" s="6">
        <v>6.5</v>
      </c>
      <c r="N67" s="6">
        <v>7.1</v>
      </c>
      <c r="O67" s="6">
        <v>15.5</v>
      </c>
    </row>
    <row r="68" spans="1:15" ht="12.75">
      <c r="A68" s="12" t="s">
        <v>166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12" t="s">
        <v>154</v>
      </c>
      <c r="B69" s="6">
        <v>9</v>
      </c>
      <c r="C69" s="6">
        <v>4.1</v>
      </c>
      <c r="D69" s="6">
        <v>7.8</v>
      </c>
      <c r="E69" s="6">
        <v>11.4</v>
      </c>
      <c r="F69" s="6">
        <v>17.8</v>
      </c>
      <c r="G69" s="6">
        <v>16.1</v>
      </c>
      <c r="H69" s="6">
        <v>23.7</v>
      </c>
      <c r="I69" s="6">
        <v>10.4</v>
      </c>
      <c r="J69" s="6">
        <v>19.8</v>
      </c>
      <c r="K69" s="6">
        <v>17.6</v>
      </c>
      <c r="L69" s="6">
        <v>6.3</v>
      </c>
      <c r="M69" s="6">
        <v>5.3</v>
      </c>
      <c r="N69" s="6">
        <v>13.4</v>
      </c>
      <c r="O69" s="6">
        <v>12.5</v>
      </c>
    </row>
    <row r="70" spans="1:15" ht="12.75">
      <c r="A70" s="12" t="s">
        <v>155</v>
      </c>
      <c r="B70" s="6">
        <v>0.36</v>
      </c>
      <c r="C70" s="6">
        <v>0.47</v>
      </c>
      <c r="D70" s="6">
        <v>0.45</v>
      </c>
      <c r="E70" s="6">
        <v>0.37</v>
      </c>
      <c r="F70" s="6">
        <v>0.37</v>
      </c>
      <c r="G70" s="6">
        <v>0.34</v>
      </c>
      <c r="H70" s="6">
        <v>0.38</v>
      </c>
      <c r="I70" s="6">
        <v>0.34</v>
      </c>
      <c r="J70" s="6">
        <v>0.39</v>
      </c>
      <c r="K70" s="6">
        <v>0.35</v>
      </c>
      <c r="L70" s="6">
        <v>0.27</v>
      </c>
      <c r="M70" s="6">
        <v>0.4</v>
      </c>
      <c r="N70" s="6">
        <v>0.33</v>
      </c>
      <c r="O70" s="6">
        <v>0.36</v>
      </c>
    </row>
    <row r="71" spans="1:15" ht="12.75">
      <c r="A71" s="12" t="s">
        <v>156</v>
      </c>
      <c r="B71" s="6">
        <v>0.2</v>
      </c>
      <c r="C71" s="6">
        <v>0.15</v>
      </c>
      <c r="D71" s="6">
        <v>0.15</v>
      </c>
      <c r="E71" s="6">
        <v>0.13</v>
      </c>
      <c r="F71" s="6">
        <v>0.181</v>
      </c>
      <c r="G71" s="6">
        <v>0.127</v>
      </c>
      <c r="H71" s="6">
        <v>0.075</v>
      </c>
      <c r="I71" s="6">
        <v>0.23</v>
      </c>
      <c r="J71" s="6" t="s">
        <v>20</v>
      </c>
      <c r="K71" s="6" t="s">
        <v>21</v>
      </c>
      <c r="L71" s="6">
        <v>0.078</v>
      </c>
      <c r="M71" s="6" t="s">
        <v>20</v>
      </c>
      <c r="N71" s="6">
        <v>0.092</v>
      </c>
      <c r="O71" s="6">
        <v>0.13</v>
      </c>
    </row>
    <row r="72" spans="2:15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s="29" customFormat="1" ht="12.75">
      <c r="A73" s="28" t="s">
        <v>81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2:15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3.5">
      <c r="A75" s="18" t="s">
        <v>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3.5">
      <c r="A76" s="8" t="s">
        <v>174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3.5">
      <c r="A77" s="8" t="s">
        <v>169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3.5">
      <c r="A78" s="8" t="s">
        <v>170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3.5">
      <c r="A79" s="8" t="s">
        <v>171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3.5">
      <c r="A80" s="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3.5">
      <c r="A81" s="8" t="s">
        <v>176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3.5">
      <c r="A82" s="8" t="s">
        <v>172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3.5">
      <c r="A83" s="8" t="s">
        <v>175</v>
      </c>
      <c r="B83" s="6"/>
      <c r="C83" s="6">
        <v>1.7</v>
      </c>
      <c r="D83" s="6">
        <v>1.9</v>
      </c>
      <c r="E83" s="6">
        <v>1.9</v>
      </c>
      <c r="F83" s="6">
        <v>1.6</v>
      </c>
      <c r="G83" s="6">
        <v>1.34</v>
      </c>
      <c r="H83" s="6">
        <v>2.8</v>
      </c>
      <c r="I83" s="6">
        <v>1.2</v>
      </c>
      <c r="J83" s="6">
        <v>1.36</v>
      </c>
      <c r="K83" s="6">
        <v>1.8</v>
      </c>
      <c r="L83" s="6">
        <v>1.13</v>
      </c>
      <c r="M83" s="6">
        <v>1.9</v>
      </c>
      <c r="N83" s="6">
        <v>2.1</v>
      </c>
      <c r="O83" s="6">
        <v>1.6</v>
      </c>
    </row>
    <row r="84" ht="13.5">
      <c r="A84" s="8" t="s">
        <v>173</v>
      </c>
    </row>
    <row r="85" ht="13.5">
      <c r="A85" s="8"/>
    </row>
    <row r="86" ht="13.5">
      <c r="A86" s="8" t="s">
        <v>179</v>
      </c>
    </row>
    <row r="87" ht="13.5">
      <c r="A87" s="8" t="s">
        <v>180</v>
      </c>
    </row>
    <row r="88" ht="13.5">
      <c r="A88" s="8" t="s">
        <v>178</v>
      </c>
    </row>
    <row r="89" ht="13.5">
      <c r="A89" s="8" t="s">
        <v>177</v>
      </c>
    </row>
    <row r="91" ht="13.5">
      <c r="A91" s="8" t="s">
        <v>287</v>
      </c>
    </row>
    <row r="93" ht="12.75">
      <c r="A93" s="1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2">
      <pane ySplit="1536" topLeftCell="BM1" activePane="bottomLeft" state="split"/>
      <selection pane="topLeft" activeCell="B2" sqref="B1:F16384"/>
      <selection pane="bottomLeft" activeCell="A90" sqref="A1:F90"/>
    </sheetView>
  </sheetViews>
  <sheetFormatPr defaultColWidth="9.140625" defaultRowHeight="12.75"/>
  <cols>
    <col min="2" max="6" width="8.8515625" style="6" customWidth="1"/>
  </cols>
  <sheetData>
    <row r="1" ht="15">
      <c r="A1" s="16" t="s">
        <v>63</v>
      </c>
    </row>
    <row r="2" ht="12.75">
      <c r="A2" s="12"/>
    </row>
    <row r="3" spans="1:6" ht="12.75">
      <c r="A3" s="30" t="s">
        <v>103</v>
      </c>
      <c r="B3" s="6">
        <v>1</v>
      </c>
      <c r="C3" s="6">
        <v>2</v>
      </c>
      <c r="D3" s="6">
        <v>2</v>
      </c>
      <c r="E3" s="6">
        <v>3</v>
      </c>
      <c r="F3" s="6">
        <v>4</v>
      </c>
    </row>
    <row r="4" spans="1:6" ht="12.75">
      <c r="A4" s="30" t="s">
        <v>104</v>
      </c>
      <c r="B4" s="6">
        <v>186</v>
      </c>
      <c r="C4" s="6">
        <v>334.5</v>
      </c>
      <c r="F4" s="6">
        <v>650</v>
      </c>
    </row>
    <row r="5" spans="1:6" ht="12.75">
      <c r="A5" s="30" t="s">
        <v>243</v>
      </c>
      <c r="B5" s="6" t="s">
        <v>215</v>
      </c>
      <c r="C5" s="6" t="s">
        <v>215</v>
      </c>
      <c r="D5" s="6" t="s">
        <v>82</v>
      </c>
      <c r="E5" s="6" t="s">
        <v>249</v>
      </c>
      <c r="F5" s="6" t="s">
        <v>281</v>
      </c>
    </row>
    <row r="6" ht="12.75">
      <c r="A6" s="12"/>
    </row>
    <row r="7" spans="1:5" ht="15">
      <c r="A7" s="12" t="s">
        <v>244</v>
      </c>
      <c r="B7" s="19">
        <f>21*60.09/28.09</f>
        <v>44.923104307582776</v>
      </c>
      <c r="C7" s="19"/>
      <c r="D7" s="19">
        <v>43.9</v>
      </c>
      <c r="E7" s="6">
        <v>43.7</v>
      </c>
    </row>
    <row r="8" spans="1:5" ht="15">
      <c r="A8" s="12" t="s">
        <v>245</v>
      </c>
      <c r="B8" s="20">
        <f>0.11*79.9/47.9</f>
        <v>0.18348643006263052</v>
      </c>
      <c r="C8" s="20"/>
      <c r="D8" s="20">
        <v>0.16</v>
      </c>
      <c r="E8" s="6">
        <v>0.13</v>
      </c>
    </row>
    <row r="9" spans="1:5" ht="15">
      <c r="A9" s="12" t="s">
        <v>56</v>
      </c>
      <c r="B9" s="20">
        <f>15.4*102/2/28</f>
        <v>28.05</v>
      </c>
      <c r="C9" s="20"/>
      <c r="D9" s="20">
        <v>29.4</v>
      </c>
      <c r="E9" s="6">
        <v>31.4</v>
      </c>
    </row>
    <row r="10" spans="1:5" ht="12.75">
      <c r="A10" s="12" t="s">
        <v>105</v>
      </c>
      <c r="B10" s="20">
        <f>3.03*71.85/55.85</f>
        <v>3.898039391226499</v>
      </c>
      <c r="C10" s="20">
        <v>3.76</v>
      </c>
      <c r="D10" s="20">
        <v>3.8</v>
      </c>
      <c r="E10" s="6">
        <v>2.82</v>
      </c>
    </row>
    <row r="11" spans="1:5" ht="12.75">
      <c r="A11" s="12" t="s">
        <v>106</v>
      </c>
      <c r="B11" s="20">
        <f>0.04*74.9/58.9</f>
        <v>0.050865874363327686</v>
      </c>
      <c r="C11" s="20"/>
      <c r="D11" s="20">
        <v>0.05</v>
      </c>
      <c r="E11" s="6">
        <v>0.04</v>
      </c>
    </row>
    <row r="12" spans="1:5" ht="12.75">
      <c r="A12" s="12" t="s">
        <v>108</v>
      </c>
      <c r="B12" s="20">
        <f>2.49*40.3/24.3</f>
        <v>4.129506172839506</v>
      </c>
      <c r="C12" s="20"/>
      <c r="D12" s="20">
        <v>4.28</v>
      </c>
      <c r="E12" s="6">
        <v>3.15</v>
      </c>
    </row>
    <row r="13" spans="1:5" ht="12.75">
      <c r="A13" s="12" t="s">
        <v>107</v>
      </c>
      <c r="B13" s="20">
        <f>11.9*56.08/40.08</f>
        <v>16.650499001996007</v>
      </c>
      <c r="C13" s="20">
        <v>17.1</v>
      </c>
      <c r="D13" s="20">
        <v>18.47</v>
      </c>
      <c r="E13" s="6">
        <v>17.6</v>
      </c>
    </row>
    <row r="14" spans="1:5" ht="15">
      <c r="A14" s="12" t="s">
        <v>57</v>
      </c>
      <c r="B14" s="20">
        <f>0.282*61.98/2/23</f>
        <v>0.3799643478260869</v>
      </c>
      <c r="C14" s="20">
        <v>0.377</v>
      </c>
      <c r="D14" s="20">
        <v>0.26</v>
      </c>
      <c r="E14" s="6">
        <v>0.41</v>
      </c>
    </row>
    <row r="15" spans="1:5" ht="15">
      <c r="A15" s="12" t="s">
        <v>58</v>
      </c>
      <c r="B15" s="20">
        <f>0.03*94.2/2/39.1</f>
        <v>0.0361381074168798</v>
      </c>
      <c r="C15" s="20">
        <v>0.04</v>
      </c>
      <c r="D15" s="20">
        <v>0.035</v>
      </c>
      <c r="E15" s="6">
        <v>0.02</v>
      </c>
    </row>
    <row r="16" spans="1:5" ht="15">
      <c r="A16" s="12" t="s">
        <v>59</v>
      </c>
      <c r="D16" s="20">
        <v>0.04</v>
      </c>
      <c r="E16" s="6">
        <v>0.04</v>
      </c>
    </row>
    <row r="17" ht="12.75">
      <c r="A17" s="12" t="s">
        <v>181</v>
      </c>
    </row>
    <row r="18" spans="1:5" ht="12.75">
      <c r="A18" s="12" t="s">
        <v>109</v>
      </c>
      <c r="B18" s="6">
        <f>+SUM(B7:B16)</f>
        <v>98.30160363331372</v>
      </c>
      <c r="D18" s="6">
        <f>+SUM(D7:D16)</f>
        <v>100.395</v>
      </c>
      <c r="E18" s="6">
        <f>+SUM(E7:E16)</f>
        <v>99.31</v>
      </c>
    </row>
    <row r="19" ht="12.75">
      <c r="A19" s="12"/>
    </row>
    <row r="20" spans="1:3" ht="12.75">
      <c r="A20" s="12" t="s">
        <v>163</v>
      </c>
      <c r="B20" s="6">
        <v>7.1</v>
      </c>
      <c r="C20" s="6">
        <v>6.93</v>
      </c>
    </row>
    <row r="21" spans="1:2" ht="12.75">
      <c r="A21" s="12" t="s">
        <v>110</v>
      </c>
      <c r="B21" s="6">
        <v>16</v>
      </c>
    </row>
    <row r="22" spans="1:5" ht="12.75">
      <c r="A22" s="12" t="s">
        <v>111</v>
      </c>
      <c r="B22" s="6">
        <v>5100</v>
      </c>
      <c r="C22" s="6">
        <v>519</v>
      </c>
      <c r="E22" s="21">
        <f>0.06*52*2/152*10000</f>
        <v>410.5263157894737</v>
      </c>
    </row>
    <row r="23" spans="1:3" ht="12.75">
      <c r="A23" s="12" t="s">
        <v>112</v>
      </c>
      <c r="B23" s="6">
        <v>14.5</v>
      </c>
      <c r="C23" s="6">
        <v>13.21</v>
      </c>
    </row>
    <row r="24" spans="1:5" ht="12.75">
      <c r="A24" s="12" t="s">
        <v>113</v>
      </c>
      <c r="B24" s="6">
        <v>170</v>
      </c>
      <c r="C24" s="6">
        <v>144</v>
      </c>
      <c r="E24" s="21">
        <f>0.03/58*74*10000</f>
        <v>382.75862068965523</v>
      </c>
    </row>
    <row r="25" ht="12.75">
      <c r="A25" s="12" t="s">
        <v>114</v>
      </c>
    </row>
    <row r="26" ht="12.75">
      <c r="A26" s="12" t="s">
        <v>115</v>
      </c>
    </row>
    <row r="27" spans="1:2" ht="12.75">
      <c r="A27" s="12" t="s">
        <v>116</v>
      </c>
      <c r="B27" s="6">
        <v>3.3</v>
      </c>
    </row>
    <row r="28" ht="12.75">
      <c r="A28" s="12" t="s">
        <v>117</v>
      </c>
    </row>
    <row r="29" spans="1:3" ht="12.75">
      <c r="A29" s="12" t="s">
        <v>118</v>
      </c>
      <c r="B29" s="6" t="s">
        <v>228</v>
      </c>
      <c r="C29" s="6">
        <v>0.12</v>
      </c>
    </row>
    <row r="30" ht="12.75">
      <c r="A30" s="12" t="s">
        <v>119</v>
      </c>
    </row>
    <row r="31" spans="1:3" ht="12.75">
      <c r="A31" s="12" t="s">
        <v>120</v>
      </c>
      <c r="C31" s="6" t="s">
        <v>71</v>
      </c>
    </row>
    <row r="32" spans="1:3" ht="12.75">
      <c r="A32" s="12" t="s">
        <v>121</v>
      </c>
      <c r="B32" s="6">
        <v>127</v>
      </c>
      <c r="C32" s="6">
        <v>171</v>
      </c>
    </row>
    <row r="33" ht="12.75">
      <c r="A33" s="12" t="s">
        <v>122</v>
      </c>
    </row>
    <row r="34" spans="1:3" ht="12.75">
      <c r="A34" s="12" t="s">
        <v>123</v>
      </c>
      <c r="B34" s="6" t="s">
        <v>65</v>
      </c>
      <c r="C34" s="6">
        <v>21</v>
      </c>
    </row>
    <row r="35" ht="12.75">
      <c r="A35" s="12" t="s">
        <v>124</v>
      </c>
    </row>
    <row r="36" ht="12.75">
      <c r="A36" s="12" t="s">
        <v>125</v>
      </c>
    </row>
    <row r="37" spans="1:6" ht="12.75">
      <c r="A37" s="12" t="s">
        <v>167</v>
      </c>
      <c r="F37" s="6">
        <v>9.14</v>
      </c>
    </row>
    <row r="38" ht="12.75">
      <c r="A38" s="12" t="s">
        <v>168</v>
      </c>
    </row>
    <row r="39" spans="1:6" ht="12.75">
      <c r="A39" s="12" t="s">
        <v>126</v>
      </c>
      <c r="F39" s="6">
        <v>8.02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spans="1:3" ht="12.75">
      <c r="A44" s="12" t="s">
        <v>130</v>
      </c>
      <c r="B44" s="6" t="s">
        <v>66</v>
      </c>
      <c r="C44" s="6">
        <v>9</v>
      </c>
    </row>
    <row r="45" ht="12.75">
      <c r="A45" s="12" t="s">
        <v>131</v>
      </c>
    </row>
    <row r="46" spans="1:3" ht="12.75">
      <c r="A46" s="12" t="s">
        <v>132</v>
      </c>
      <c r="B46" s="6" t="s">
        <v>67</v>
      </c>
      <c r="C46" s="6" t="s">
        <v>193</v>
      </c>
    </row>
    <row r="47" spans="1:3" ht="12.75">
      <c r="A47" s="12" t="s">
        <v>133</v>
      </c>
      <c r="B47" s="6">
        <v>30</v>
      </c>
      <c r="C47" s="6">
        <v>30</v>
      </c>
    </row>
    <row r="48" spans="1:3" ht="12.75">
      <c r="A48" s="12" t="s">
        <v>134</v>
      </c>
      <c r="B48" s="6">
        <v>1.55</v>
      </c>
      <c r="C48" s="6">
        <v>1.523</v>
      </c>
    </row>
    <row r="49" spans="1:3" ht="12.75">
      <c r="A49" s="12" t="s">
        <v>135</v>
      </c>
      <c r="B49" s="6">
        <v>3.5</v>
      </c>
      <c r="C49" s="6">
        <v>3.99</v>
      </c>
    </row>
    <row r="50" ht="12.75">
      <c r="A50" s="12" t="s">
        <v>136</v>
      </c>
    </row>
    <row r="51" spans="1:3" ht="12.75">
      <c r="A51" s="12" t="s">
        <v>137</v>
      </c>
      <c r="B51" s="6">
        <v>2.45</v>
      </c>
      <c r="C51" s="6">
        <v>2.5</v>
      </c>
    </row>
    <row r="52" spans="1:3" ht="12.75">
      <c r="A52" s="12" t="s">
        <v>138</v>
      </c>
      <c r="B52" s="6">
        <v>0.77</v>
      </c>
      <c r="C52" s="6">
        <v>0.788</v>
      </c>
    </row>
    <row r="53" spans="1:3" ht="12.75">
      <c r="A53" s="12" t="s">
        <v>139</v>
      </c>
      <c r="B53" s="6">
        <v>0.79</v>
      </c>
      <c r="C53" s="6">
        <v>0.75</v>
      </c>
    </row>
    <row r="54" ht="12.75">
      <c r="A54" s="12" t="s">
        <v>140</v>
      </c>
    </row>
    <row r="55" spans="1:3" ht="12.75">
      <c r="A55" s="12" t="s">
        <v>141</v>
      </c>
      <c r="B55" s="6">
        <v>0.172</v>
      </c>
      <c r="C55" s="6">
        <v>0.161</v>
      </c>
    </row>
    <row r="56" spans="1:2" ht="12.75">
      <c r="A56" s="12" t="s">
        <v>142</v>
      </c>
      <c r="B56" s="6">
        <v>1.3</v>
      </c>
    </row>
    <row r="57" spans="1:2" ht="12.75">
      <c r="A57" s="12" t="s">
        <v>143</v>
      </c>
      <c r="B57" s="6">
        <v>0.21</v>
      </c>
    </row>
    <row r="58" ht="12.75">
      <c r="A58" s="12" t="s">
        <v>144</v>
      </c>
    </row>
    <row r="59" ht="12.75">
      <c r="A59" s="12" t="s">
        <v>145</v>
      </c>
    </row>
    <row r="60" spans="1:3" ht="12.75">
      <c r="A60" s="12" t="s">
        <v>146</v>
      </c>
      <c r="B60" s="6">
        <v>0.67</v>
      </c>
      <c r="C60" s="6">
        <v>0.634</v>
      </c>
    </row>
    <row r="61" spans="1:3" ht="12.75">
      <c r="A61" s="12" t="s">
        <v>147</v>
      </c>
      <c r="B61" s="6">
        <v>0.097</v>
      </c>
      <c r="C61" s="6">
        <v>0.0904</v>
      </c>
    </row>
    <row r="62" spans="1:3" ht="12.75">
      <c r="A62" s="12" t="s">
        <v>148</v>
      </c>
      <c r="B62" s="6">
        <v>0.6</v>
      </c>
      <c r="C62" s="6">
        <v>0.582</v>
      </c>
    </row>
    <row r="63" spans="1:3" ht="12.75">
      <c r="A63" s="12" t="s">
        <v>149</v>
      </c>
      <c r="B63" s="6">
        <v>0.092</v>
      </c>
      <c r="C63" s="6">
        <v>0.066</v>
      </c>
    </row>
    <row r="64" spans="1:3" ht="12.75">
      <c r="A64" s="12" t="s">
        <v>150</v>
      </c>
      <c r="C64" s="6" t="s">
        <v>72</v>
      </c>
    </row>
    <row r="65" spans="1:6" ht="12.75">
      <c r="A65" s="12" t="s">
        <v>151</v>
      </c>
      <c r="F65" s="6">
        <v>0.539</v>
      </c>
    </row>
    <row r="66" spans="1:6" ht="12.75">
      <c r="A66" s="12" t="s">
        <v>152</v>
      </c>
      <c r="F66" s="6">
        <v>6.176</v>
      </c>
    </row>
    <row r="67" spans="1:6" ht="12.75">
      <c r="A67" s="12" t="s">
        <v>153</v>
      </c>
      <c r="B67" s="6">
        <v>5.9</v>
      </c>
      <c r="C67" s="6">
        <v>5.3</v>
      </c>
      <c r="F67" s="6">
        <v>5.7</v>
      </c>
    </row>
    <row r="68" spans="1:6" ht="12.75">
      <c r="A68" s="12" t="s">
        <v>166</v>
      </c>
      <c r="F68" s="6">
        <v>11.6</v>
      </c>
    </row>
    <row r="69" spans="1:3" ht="12.75">
      <c r="A69" s="12" t="s">
        <v>154</v>
      </c>
      <c r="B69" s="6">
        <v>2.8</v>
      </c>
      <c r="C69" s="6">
        <v>3.4</v>
      </c>
    </row>
    <row r="70" spans="1:3" ht="12.75">
      <c r="A70" s="12" t="s">
        <v>155</v>
      </c>
      <c r="B70" s="6">
        <v>0.23</v>
      </c>
      <c r="C70" s="6">
        <v>0.24</v>
      </c>
    </row>
    <row r="71" spans="1:3" ht="12.75">
      <c r="A71" s="12" t="s">
        <v>156</v>
      </c>
      <c r="B71" s="6">
        <v>0.052</v>
      </c>
      <c r="C71" s="6">
        <v>0.08</v>
      </c>
    </row>
    <row r="72" spans="1:15" s="29" customFormat="1" ht="12.75">
      <c r="A72" s="28" t="s">
        <v>250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4" ht="12.75">
      <c r="A74" s="4" t="s">
        <v>64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spans="1:2" ht="12.75">
      <c r="A82" s="2" t="s">
        <v>175</v>
      </c>
      <c r="B82" s="6">
        <v>2.1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 t="s">
        <v>282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9"/>
  <sheetViews>
    <sheetView workbookViewId="0" topLeftCell="A1">
      <selection activeCell="A89" sqref="A1:C89"/>
    </sheetView>
  </sheetViews>
  <sheetFormatPr defaultColWidth="9.140625" defaultRowHeight="12.75"/>
  <cols>
    <col min="2" max="2" width="8.8515625" style="6" customWidth="1"/>
  </cols>
  <sheetData>
    <row r="1" ht="15">
      <c r="A1" s="16" t="s">
        <v>22</v>
      </c>
    </row>
    <row r="2" ht="12.75">
      <c r="A2" s="12"/>
    </row>
    <row r="3" spans="1:2" ht="12.75">
      <c r="A3" s="30" t="s">
        <v>103</v>
      </c>
      <c r="B3" s="6">
        <v>1</v>
      </c>
    </row>
    <row r="4" spans="1:2" ht="12.75">
      <c r="A4" s="30" t="s">
        <v>104</v>
      </c>
      <c r="B4" s="6">
        <v>1000</v>
      </c>
    </row>
    <row r="5" spans="1:2" ht="12.75">
      <c r="A5" s="30" t="s">
        <v>243</v>
      </c>
      <c r="B5" s="6" t="s">
        <v>7</v>
      </c>
    </row>
    <row r="6" ht="12.75">
      <c r="A6" s="12"/>
    </row>
    <row r="7" spans="1:2" ht="15">
      <c r="A7" s="12" t="s">
        <v>244</v>
      </c>
      <c r="B7" s="6">
        <v>44.5</v>
      </c>
    </row>
    <row r="8" spans="1:2" ht="15">
      <c r="A8" s="12" t="s">
        <v>245</v>
      </c>
      <c r="B8" s="6">
        <v>0.27</v>
      </c>
    </row>
    <row r="9" spans="1:2" ht="15">
      <c r="A9" s="12" t="s">
        <v>56</v>
      </c>
      <c r="B9" s="6">
        <v>28.1</v>
      </c>
    </row>
    <row r="10" spans="1:2" ht="12.75">
      <c r="A10" s="12" t="s">
        <v>105</v>
      </c>
      <c r="B10" s="6">
        <v>4.02</v>
      </c>
    </row>
    <row r="11" spans="1:2" ht="12.75">
      <c r="A11" s="12" t="s">
        <v>106</v>
      </c>
      <c r="B11" s="6">
        <v>0.06</v>
      </c>
    </row>
    <row r="12" spans="1:2" ht="12.75">
      <c r="A12" s="12" t="s">
        <v>108</v>
      </c>
      <c r="B12" s="6">
        <v>4.84</v>
      </c>
    </row>
    <row r="13" spans="1:2" ht="12.75">
      <c r="A13" s="12" t="s">
        <v>107</v>
      </c>
      <c r="B13" s="6">
        <v>16.5</v>
      </c>
    </row>
    <row r="14" spans="1:2" ht="15">
      <c r="A14" s="12" t="s">
        <v>57</v>
      </c>
      <c r="B14" s="6">
        <v>0.41</v>
      </c>
    </row>
    <row r="15" spans="1:2" ht="15">
      <c r="A15" s="12" t="s">
        <v>58</v>
      </c>
      <c r="B15" s="6">
        <v>0.09</v>
      </c>
    </row>
    <row r="16" spans="1:2" ht="15">
      <c r="A16" s="12" t="s">
        <v>59</v>
      </c>
      <c r="B16" s="6">
        <v>0.12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spans="1:2" ht="12.75">
      <c r="A20" s="12" t="s">
        <v>163</v>
      </c>
      <c r="B20" s="6">
        <v>5.91</v>
      </c>
    </row>
    <row r="21" ht="12.75">
      <c r="A21" s="12" t="s">
        <v>110</v>
      </c>
    </row>
    <row r="22" spans="1:2" ht="12.75">
      <c r="A22" s="12" t="s">
        <v>111</v>
      </c>
      <c r="B22" s="6">
        <v>492</v>
      </c>
    </row>
    <row r="23" spans="1:2" ht="12.75">
      <c r="A23" s="12" t="s">
        <v>112</v>
      </c>
      <c r="B23" s="6">
        <v>18.5</v>
      </c>
    </row>
    <row r="24" spans="1:2" ht="12.75">
      <c r="A24" s="12" t="s">
        <v>113</v>
      </c>
      <c r="B24" s="6">
        <v>190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spans="1:2" ht="12.75">
      <c r="A32" s="12" t="s">
        <v>121</v>
      </c>
      <c r="B32" s="6">
        <v>995</v>
      </c>
    </row>
    <row r="33" ht="12.75">
      <c r="A33" s="12" t="s">
        <v>122</v>
      </c>
    </row>
    <row r="34" spans="1:2" ht="12.75">
      <c r="A34" s="12" t="s">
        <v>123</v>
      </c>
      <c r="B34" s="6">
        <v>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spans="1:2" ht="12.75">
      <c r="A47" s="12" t="s">
        <v>133</v>
      </c>
      <c r="B47" s="6">
        <v>265</v>
      </c>
    </row>
    <row r="48" spans="1:2" ht="12.75">
      <c r="A48" s="12" t="s">
        <v>134</v>
      </c>
      <c r="B48" s="6">
        <v>2.36</v>
      </c>
    </row>
    <row r="49" spans="1:2" ht="12.75">
      <c r="A49" s="12" t="s">
        <v>135</v>
      </c>
      <c r="B49" s="6">
        <v>5</v>
      </c>
    </row>
    <row r="50" ht="12.75">
      <c r="A50" s="12" t="s">
        <v>136</v>
      </c>
    </row>
    <row r="51" spans="1:2" ht="12.75">
      <c r="A51" s="12" t="s">
        <v>137</v>
      </c>
      <c r="B51" s="6">
        <v>2.8</v>
      </c>
    </row>
    <row r="52" spans="1:2" ht="12.75">
      <c r="A52" s="12" t="s">
        <v>138</v>
      </c>
      <c r="B52" s="6">
        <v>0.8</v>
      </c>
    </row>
    <row r="53" spans="1:2" ht="12.75">
      <c r="A53" s="12" t="s">
        <v>139</v>
      </c>
      <c r="B53" s="6">
        <v>0.9</v>
      </c>
    </row>
    <row r="54" ht="12.75">
      <c r="A54" s="12" t="s">
        <v>140</v>
      </c>
    </row>
    <row r="55" spans="1:2" ht="12.75">
      <c r="A55" s="12" t="s">
        <v>141</v>
      </c>
      <c r="B55" s="6">
        <v>0.18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spans="1:2" ht="12.75">
      <c r="A60" s="12" t="s">
        <v>146</v>
      </c>
      <c r="B60" s="6">
        <v>0.65</v>
      </c>
    </row>
    <row r="61" spans="1:2" ht="12.75">
      <c r="A61" s="12" t="s">
        <v>147</v>
      </c>
      <c r="B61" s="6">
        <v>0.11</v>
      </c>
    </row>
    <row r="62" spans="1:2" ht="12.75">
      <c r="A62" s="12" t="s">
        <v>148</v>
      </c>
      <c r="B62" s="6">
        <v>0.8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spans="1:2" ht="12.75">
      <c r="A67" s="12" t="s">
        <v>153</v>
      </c>
      <c r="B67" s="6">
        <v>5.1</v>
      </c>
    </row>
    <row r="68" ht="12.75">
      <c r="A68" s="12" t="s">
        <v>166</v>
      </c>
    </row>
    <row r="69" ht="12.75">
      <c r="A69" s="12" t="s">
        <v>154</v>
      </c>
    </row>
    <row r="70" spans="1:2" ht="12.75">
      <c r="A70" s="12" t="s">
        <v>155</v>
      </c>
      <c r="B70" s="6">
        <v>0.43</v>
      </c>
    </row>
    <row r="71" ht="12.75">
      <c r="A71" s="12" t="s">
        <v>156</v>
      </c>
    </row>
    <row r="72" spans="1:2" s="29" customFormat="1" ht="12.75">
      <c r="A72" s="28" t="s">
        <v>81</v>
      </c>
      <c r="B72" s="31"/>
    </row>
    <row r="73" ht="12.75">
      <c r="A73" s="4" t="s">
        <v>23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 t="s">
        <v>294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R12" sqref="R12"/>
    </sheetView>
  </sheetViews>
  <sheetFormatPr defaultColWidth="9.140625" defaultRowHeight="12.75"/>
  <cols>
    <col min="2" max="15" width="8.8515625" style="6" customWidth="1"/>
  </cols>
  <sheetData>
    <row r="1" ht="15">
      <c r="A1" s="16" t="s">
        <v>39</v>
      </c>
    </row>
    <row r="2" spans="1:15" ht="12.75">
      <c r="A2" s="12"/>
      <c r="F2" s="6" t="s">
        <v>295</v>
      </c>
      <c r="G2" s="6" t="s">
        <v>296</v>
      </c>
      <c r="H2" s="6" t="s">
        <v>297</v>
      </c>
      <c r="I2" s="6" t="s">
        <v>298</v>
      </c>
      <c r="J2" s="6" t="s">
        <v>299</v>
      </c>
      <c r="K2" s="6" t="s">
        <v>300</v>
      </c>
      <c r="L2" s="6" t="s">
        <v>301</v>
      </c>
      <c r="M2" s="6" t="s">
        <v>302</v>
      </c>
      <c r="N2" s="6" t="s">
        <v>303</v>
      </c>
      <c r="O2" s="6" t="s">
        <v>304</v>
      </c>
    </row>
    <row r="3" spans="1:15" ht="12.75">
      <c r="A3" s="30" t="s">
        <v>103</v>
      </c>
      <c r="B3" s="6">
        <v>1</v>
      </c>
      <c r="C3" s="6">
        <v>1</v>
      </c>
      <c r="D3" s="6">
        <v>1</v>
      </c>
      <c r="E3" s="6">
        <v>2</v>
      </c>
      <c r="F3" s="6">
        <v>3</v>
      </c>
      <c r="G3" s="6">
        <v>3</v>
      </c>
      <c r="H3" s="6">
        <v>3</v>
      </c>
      <c r="I3" s="6">
        <v>3</v>
      </c>
      <c r="J3" s="6">
        <v>3</v>
      </c>
      <c r="K3" s="6">
        <v>3</v>
      </c>
      <c r="L3" s="6">
        <v>3</v>
      </c>
      <c r="M3" s="6">
        <v>3</v>
      </c>
      <c r="N3" s="6">
        <v>3</v>
      </c>
      <c r="O3" s="6">
        <v>3</v>
      </c>
    </row>
    <row r="4" spans="1:15" ht="12.75">
      <c r="A4" s="30" t="s">
        <v>104</v>
      </c>
      <c r="B4" s="6">
        <v>143</v>
      </c>
      <c r="C4" s="6">
        <v>31</v>
      </c>
      <c r="D4" s="6" t="s">
        <v>38</v>
      </c>
      <c r="E4" s="6">
        <v>1200.3</v>
      </c>
      <c r="F4" s="6">
        <v>1000</v>
      </c>
      <c r="G4" s="6">
        <v>1000</v>
      </c>
      <c r="H4" s="6">
        <v>1000</v>
      </c>
      <c r="I4" s="6">
        <v>1000</v>
      </c>
      <c r="J4" s="6">
        <v>1000</v>
      </c>
      <c r="K4" s="6">
        <v>1000</v>
      </c>
      <c r="L4" s="6">
        <v>1000</v>
      </c>
      <c r="M4" s="6">
        <v>1000</v>
      </c>
      <c r="N4" s="6">
        <v>1000</v>
      </c>
      <c r="O4" s="6">
        <v>1000</v>
      </c>
    </row>
    <row r="5" spans="1:15" s="6" customFormat="1" ht="12.75">
      <c r="A5" s="30" t="s">
        <v>243</v>
      </c>
      <c r="B5" s="6" t="s">
        <v>101</v>
      </c>
      <c r="C5" s="6" t="s">
        <v>101</v>
      </c>
      <c r="D5" s="6" t="s">
        <v>101</v>
      </c>
      <c r="E5" s="6" t="s">
        <v>45</v>
      </c>
      <c r="F5" s="6" t="s">
        <v>306</v>
      </c>
      <c r="G5" s="6" t="s">
        <v>306</v>
      </c>
      <c r="H5" s="6" t="s">
        <v>306</v>
      </c>
      <c r="I5" s="6" t="s">
        <v>306</v>
      </c>
      <c r="J5" s="6" t="s">
        <v>306</v>
      </c>
      <c r="K5" s="6" t="s">
        <v>306</v>
      </c>
      <c r="L5" s="6" t="s">
        <v>306</v>
      </c>
      <c r="M5" s="6" t="s">
        <v>306</v>
      </c>
      <c r="N5" s="6" t="s">
        <v>306</v>
      </c>
      <c r="O5" s="6" t="s">
        <v>306</v>
      </c>
    </row>
    <row r="6" ht="12.75">
      <c r="A6" s="12"/>
    </row>
    <row r="7" spans="1:15" ht="15">
      <c r="A7" s="12" t="s">
        <v>244</v>
      </c>
      <c r="B7" s="6">
        <v>43.5</v>
      </c>
      <c r="C7" s="6">
        <v>43.9</v>
      </c>
      <c r="D7" s="6">
        <v>42.5</v>
      </c>
      <c r="E7" s="22">
        <v>43.4</v>
      </c>
      <c r="F7" s="6">
        <v>44</v>
      </c>
      <c r="G7" s="6">
        <v>43.9</v>
      </c>
      <c r="H7" s="6">
        <v>44</v>
      </c>
      <c r="I7" s="6">
        <v>43.8</v>
      </c>
      <c r="J7" s="6">
        <v>44.3</v>
      </c>
      <c r="K7" s="6">
        <v>43.6</v>
      </c>
      <c r="L7" s="6">
        <v>44.1</v>
      </c>
      <c r="M7" s="6">
        <v>43.7</v>
      </c>
      <c r="N7" s="6">
        <v>43.4</v>
      </c>
      <c r="O7" s="6">
        <v>43.9</v>
      </c>
    </row>
    <row r="8" spans="1:15" ht="15">
      <c r="A8" s="12" t="s">
        <v>245</v>
      </c>
      <c r="B8" s="6">
        <v>0.104</v>
      </c>
      <c r="C8" s="6">
        <v>0.12</v>
      </c>
      <c r="E8" s="22">
        <v>0.124</v>
      </c>
      <c r="F8" s="6">
        <v>0.15</v>
      </c>
      <c r="G8" s="6">
        <v>0.16</v>
      </c>
      <c r="H8" s="6">
        <v>0.15</v>
      </c>
      <c r="I8" s="6">
        <v>0.09</v>
      </c>
      <c r="J8" s="6" t="s">
        <v>307</v>
      </c>
      <c r="K8" s="6">
        <v>0.12</v>
      </c>
      <c r="L8" s="6">
        <v>0.13</v>
      </c>
      <c r="M8" s="6">
        <v>0.17</v>
      </c>
      <c r="N8" s="6">
        <v>0.14</v>
      </c>
      <c r="O8" s="6">
        <v>0.05</v>
      </c>
    </row>
    <row r="9" spans="1:15" ht="15">
      <c r="A9" s="12" t="s">
        <v>56</v>
      </c>
      <c r="B9" s="6">
        <v>27.7</v>
      </c>
      <c r="C9" s="6">
        <v>29.8</v>
      </c>
      <c r="D9" s="6">
        <v>31.7</v>
      </c>
      <c r="E9" s="22">
        <v>27.3</v>
      </c>
      <c r="F9" s="6">
        <v>29.7</v>
      </c>
      <c r="G9" s="6">
        <v>28.5</v>
      </c>
      <c r="H9" s="6">
        <v>27.2</v>
      </c>
      <c r="I9" s="6">
        <v>30.8</v>
      </c>
      <c r="J9" s="6">
        <v>29.1</v>
      </c>
      <c r="K9" s="6">
        <v>29.2</v>
      </c>
      <c r="L9" s="6">
        <v>29.9</v>
      </c>
      <c r="M9" s="6">
        <v>27.6</v>
      </c>
      <c r="N9" s="6">
        <v>28.2</v>
      </c>
      <c r="O9" s="6">
        <v>33.1</v>
      </c>
    </row>
    <row r="10" spans="1:15" ht="12.75">
      <c r="A10" s="12" t="s">
        <v>105</v>
      </c>
      <c r="B10" s="6">
        <v>3.28</v>
      </c>
      <c r="C10" s="6">
        <v>2.83</v>
      </c>
      <c r="D10" s="6">
        <v>0.46</v>
      </c>
      <c r="E10" s="22">
        <v>3.28</v>
      </c>
      <c r="F10" s="6">
        <v>3.2</v>
      </c>
      <c r="G10" s="6">
        <v>3.69</v>
      </c>
      <c r="H10" s="6">
        <v>4</v>
      </c>
      <c r="I10" s="6">
        <v>2.58</v>
      </c>
      <c r="J10" s="6">
        <v>3.09</v>
      </c>
      <c r="K10" s="6">
        <v>2.84</v>
      </c>
      <c r="L10" s="6">
        <v>3.17</v>
      </c>
      <c r="M10" s="6">
        <v>4.13</v>
      </c>
      <c r="N10" s="6">
        <v>3.52</v>
      </c>
      <c r="O10" s="6">
        <v>1.08</v>
      </c>
    </row>
    <row r="11" spans="1:15" ht="12.75">
      <c r="A11" s="12" t="s">
        <v>106</v>
      </c>
      <c r="B11" s="6">
        <v>0.0473</v>
      </c>
      <c r="C11" s="6">
        <v>0.0376</v>
      </c>
      <c r="D11" s="6">
        <v>0.0114</v>
      </c>
      <c r="E11" s="22">
        <v>0.056</v>
      </c>
      <c r="F11" s="6">
        <v>0.06</v>
      </c>
      <c r="G11" s="6">
        <v>0.07</v>
      </c>
      <c r="H11" s="6">
        <v>0.05</v>
      </c>
      <c r="I11" s="6">
        <v>0.05</v>
      </c>
      <c r="J11" s="6" t="s">
        <v>307</v>
      </c>
      <c r="K11" s="6">
        <v>0.05</v>
      </c>
      <c r="L11" s="6">
        <v>0.05</v>
      </c>
      <c r="M11" s="6">
        <v>0.06</v>
      </c>
      <c r="N11" s="6">
        <v>0.06</v>
      </c>
      <c r="O11" s="6">
        <v>0.02</v>
      </c>
    </row>
    <row r="12" spans="1:15" ht="12.75">
      <c r="A12" s="12" t="s">
        <v>108</v>
      </c>
      <c r="B12" s="6">
        <v>6.51</v>
      </c>
      <c r="C12" s="6">
        <v>5.58</v>
      </c>
      <c r="D12" s="6">
        <v>2.37</v>
      </c>
      <c r="E12" s="22">
        <v>7.4</v>
      </c>
      <c r="F12" s="6">
        <v>4.97</v>
      </c>
      <c r="G12" s="6">
        <v>6.08</v>
      </c>
      <c r="H12" s="6">
        <v>7.55</v>
      </c>
      <c r="I12" s="6">
        <v>4.06</v>
      </c>
      <c r="J12" s="6">
        <v>6.15</v>
      </c>
      <c r="K12" s="6">
        <v>5.79</v>
      </c>
      <c r="L12" s="6">
        <v>5.08</v>
      </c>
      <c r="M12" s="6">
        <v>6.9</v>
      </c>
      <c r="N12" s="6">
        <v>6.55</v>
      </c>
      <c r="O12" s="6">
        <v>1.77</v>
      </c>
    </row>
    <row r="13" spans="1:15" ht="12.75">
      <c r="A13" s="12" t="s">
        <v>107</v>
      </c>
      <c r="B13" s="6">
        <v>15.7</v>
      </c>
      <c r="C13" s="6">
        <v>17.2</v>
      </c>
      <c r="D13" s="6">
        <v>18.5</v>
      </c>
      <c r="E13" s="22">
        <v>17.1</v>
      </c>
      <c r="F13" s="6">
        <v>16.9</v>
      </c>
      <c r="G13" s="6">
        <v>15.9</v>
      </c>
      <c r="H13" s="6">
        <v>15.5</v>
      </c>
      <c r="I13" s="6">
        <v>17.3</v>
      </c>
      <c r="J13" s="6">
        <v>16.1</v>
      </c>
      <c r="K13" s="6">
        <v>16.6</v>
      </c>
      <c r="L13" s="6">
        <v>16.8</v>
      </c>
      <c r="M13" s="6">
        <v>15.9</v>
      </c>
      <c r="N13" s="6">
        <v>16.1</v>
      </c>
      <c r="O13" s="6">
        <v>18.6</v>
      </c>
    </row>
    <row r="14" spans="1:15" ht="15">
      <c r="A14" s="12" t="s">
        <v>57</v>
      </c>
      <c r="B14" s="6">
        <v>0.371</v>
      </c>
      <c r="C14" s="6">
        <v>0.36</v>
      </c>
      <c r="D14" s="6">
        <v>0.48</v>
      </c>
      <c r="E14" s="22">
        <v>0.332</v>
      </c>
      <c r="F14" s="6">
        <v>0.34</v>
      </c>
      <c r="G14" s="6">
        <v>0.36</v>
      </c>
      <c r="H14" s="6">
        <v>0.33</v>
      </c>
      <c r="I14" s="6">
        <v>0.36</v>
      </c>
      <c r="J14" s="6" t="s">
        <v>308</v>
      </c>
      <c r="K14" s="6" t="s">
        <v>309</v>
      </c>
      <c r="L14" s="6">
        <v>0.34</v>
      </c>
      <c r="M14" s="6">
        <v>0.35</v>
      </c>
      <c r="N14" s="6">
        <v>0.36</v>
      </c>
      <c r="O14" s="6">
        <v>0.37</v>
      </c>
    </row>
    <row r="15" spans="1:15" ht="15">
      <c r="A15" s="12" t="s">
        <v>58</v>
      </c>
      <c r="B15" s="6">
        <v>0.0361</v>
      </c>
      <c r="C15" s="6">
        <v>0.0709</v>
      </c>
      <c r="E15" s="22">
        <v>0.021</v>
      </c>
      <c r="F15" s="6">
        <v>0.01</v>
      </c>
      <c r="G15" s="6">
        <v>0.02</v>
      </c>
      <c r="H15" s="6">
        <v>0.04</v>
      </c>
      <c r="I15" s="6">
        <v>0.01</v>
      </c>
      <c r="J15" s="6" t="s">
        <v>307</v>
      </c>
      <c r="K15" s="6">
        <v>0.01</v>
      </c>
      <c r="L15" s="6">
        <v>0.01</v>
      </c>
      <c r="M15" s="6">
        <v>0.02</v>
      </c>
      <c r="N15" s="6">
        <v>0.02</v>
      </c>
      <c r="O15" s="6">
        <v>0.01</v>
      </c>
    </row>
    <row r="16" spans="1:15" ht="15">
      <c r="A16" s="12" t="s">
        <v>59</v>
      </c>
      <c r="E16" s="22">
        <v>0.039</v>
      </c>
      <c r="F16" s="6">
        <v>0.03</v>
      </c>
      <c r="G16" s="6">
        <v>0.04</v>
      </c>
      <c r="H16" s="6">
        <v>0.07</v>
      </c>
      <c r="I16" s="6">
        <v>0.02</v>
      </c>
      <c r="J16" s="6" t="s">
        <v>307</v>
      </c>
      <c r="L16" s="6">
        <v>0.05</v>
      </c>
      <c r="M16" s="6">
        <v>0.05</v>
      </c>
      <c r="N16" s="6">
        <v>0.06</v>
      </c>
      <c r="O16" s="6">
        <v>0.004</v>
      </c>
    </row>
    <row r="17" spans="1:5" ht="12.75">
      <c r="A17" s="12" t="s">
        <v>181</v>
      </c>
      <c r="E17" s="22"/>
    </row>
    <row r="18" spans="1:15" ht="12.75">
      <c r="A18" s="12" t="s">
        <v>109</v>
      </c>
      <c r="E18" s="22">
        <v>99.23</v>
      </c>
      <c r="F18" s="6">
        <v>99.4</v>
      </c>
      <c r="G18" s="6">
        <v>99.2</v>
      </c>
      <c r="H18" s="6">
        <v>99</v>
      </c>
      <c r="I18" s="6">
        <v>99.2</v>
      </c>
      <c r="J18" s="6">
        <v>99.2</v>
      </c>
      <c r="K18" s="6">
        <v>98.6</v>
      </c>
      <c r="L18" s="6">
        <v>99.7</v>
      </c>
      <c r="M18" s="6">
        <v>99</v>
      </c>
      <c r="N18" s="6">
        <v>98.5</v>
      </c>
      <c r="O18" s="6">
        <v>98.9</v>
      </c>
    </row>
    <row r="19" ht="12.75">
      <c r="A19" s="12"/>
    </row>
    <row r="20" spans="1:15" ht="12.75">
      <c r="A20" s="12" t="s">
        <v>163</v>
      </c>
      <c r="E20" s="22">
        <v>4.74</v>
      </c>
      <c r="F20" s="6">
        <v>5.42</v>
      </c>
      <c r="G20" s="6">
        <v>7.2</v>
      </c>
      <c r="H20" s="6">
        <v>5.8</v>
      </c>
      <c r="I20" s="6">
        <v>5.6</v>
      </c>
      <c r="J20" s="6">
        <v>5.3</v>
      </c>
      <c r="K20" s="6">
        <v>5.2</v>
      </c>
      <c r="L20" s="6">
        <v>5.3</v>
      </c>
      <c r="M20" s="6">
        <v>6.5</v>
      </c>
      <c r="N20" s="6">
        <v>5.9</v>
      </c>
      <c r="O20" s="6" t="s">
        <v>307</v>
      </c>
    </row>
    <row r="21" spans="1:5" ht="12.75">
      <c r="A21" s="12" t="s">
        <v>110</v>
      </c>
      <c r="E21" s="22"/>
    </row>
    <row r="22" spans="1:15" ht="12.75">
      <c r="A22" s="12" t="s">
        <v>111</v>
      </c>
      <c r="E22" s="22">
        <v>540</v>
      </c>
      <c r="F22" s="6">
        <v>460</v>
      </c>
      <c r="G22" s="6">
        <v>522</v>
      </c>
      <c r="H22" s="6">
        <v>675</v>
      </c>
      <c r="I22" s="6">
        <v>450</v>
      </c>
      <c r="J22" s="6">
        <v>650</v>
      </c>
      <c r="K22" s="6">
        <v>340</v>
      </c>
      <c r="L22" s="6">
        <v>373</v>
      </c>
      <c r="M22" s="6">
        <v>525</v>
      </c>
      <c r="N22" s="6">
        <v>480</v>
      </c>
      <c r="O22" s="6" t="s">
        <v>307</v>
      </c>
    </row>
    <row r="23" spans="1:15" ht="12.75">
      <c r="A23" s="12" t="s">
        <v>112</v>
      </c>
      <c r="E23" s="22">
        <v>10.9</v>
      </c>
      <c r="F23" s="6">
        <v>12.5</v>
      </c>
      <c r="G23" s="6">
        <v>14.3</v>
      </c>
      <c r="H23" s="6">
        <v>14.4</v>
      </c>
      <c r="I23" s="6">
        <v>10.8</v>
      </c>
      <c r="J23" s="6">
        <v>13.4</v>
      </c>
      <c r="K23" s="6">
        <v>34.3</v>
      </c>
      <c r="L23" s="6">
        <v>10.5</v>
      </c>
      <c r="M23" s="6">
        <v>14.8</v>
      </c>
      <c r="N23" s="6">
        <v>14.9</v>
      </c>
      <c r="O23" s="6" t="s">
        <v>307</v>
      </c>
    </row>
    <row r="24" spans="1:15" ht="12.75">
      <c r="A24" s="12" t="s">
        <v>113</v>
      </c>
      <c r="E24" s="22">
        <v>52</v>
      </c>
      <c r="F24" s="6">
        <v>60</v>
      </c>
      <c r="G24" s="6">
        <v>60</v>
      </c>
      <c r="H24" s="6">
        <v>230</v>
      </c>
      <c r="I24" s="6">
        <v>30</v>
      </c>
      <c r="J24" s="6">
        <v>90</v>
      </c>
      <c r="K24" s="6">
        <v>140</v>
      </c>
      <c r="L24" s="6">
        <v>70</v>
      </c>
      <c r="M24" s="6">
        <v>120</v>
      </c>
      <c r="N24" s="6">
        <v>100</v>
      </c>
      <c r="O24" s="6" t="s">
        <v>307</v>
      </c>
    </row>
    <row r="25" spans="1:5" ht="12.75">
      <c r="A25" s="12" t="s">
        <v>114</v>
      </c>
      <c r="E25" s="22"/>
    </row>
    <row r="26" spans="1:5" ht="12.75">
      <c r="A26" s="12" t="s">
        <v>115</v>
      </c>
      <c r="E26" s="22"/>
    </row>
    <row r="27" spans="1:5" ht="12.75">
      <c r="A27" s="12" t="s">
        <v>116</v>
      </c>
      <c r="E27" s="22"/>
    </row>
    <row r="28" spans="1:5" ht="12.75">
      <c r="A28" s="12" t="s">
        <v>117</v>
      </c>
      <c r="E28" s="22"/>
    </row>
    <row r="29" spans="1:5" ht="12.75">
      <c r="A29" s="12" t="s">
        <v>118</v>
      </c>
      <c r="E29" s="22"/>
    </row>
    <row r="30" spans="1:5" ht="12.75">
      <c r="A30" s="12" t="s">
        <v>119</v>
      </c>
      <c r="E30" s="22"/>
    </row>
    <row r="31" spans="1:5" ht="12.75">
      <c r="A31" s="12" t="s">
        <v>120</v>
      </c>
      <c r="E31" s="22"/>
    </row>
    <row r="32" spans="1:15" ht="12.75">
      <c r="A32" s="12" t="s">
        <v>121</v>
      </c>
      <c r="E32" s="22">
        <v>700</v>
      </c>
      <c r="F32" s="6">
        <v>530</v>
      </c>
      <c r="G32" s="6">
        <v>1280</v>
      </c>
      <c r="H32" s="6">
        <v>920</v>
      </c>
      <c r="I32" s="6">
        <v>290</v>
      </c>
      <c r="J32" s="6">
        <v>440</v>
      </c>
      <c r="K32" s="6">
        <v>370</v>
      </c>
      <c r="L32" s="6">
        <v>590</v>
      </c>
      <c r="M32" s="6">
        <v>380</v>
      </c>
      <c r="N32" s="6">
        <v>1000</v>
      </c>
      <c r="O32" s="6" t="s">
        <v>307</v>
      </c>
    </row>
    <row r="33" spans="1:5" ht="12.75">
      <c r="A33" s="12" t="s">
        <v>122</v>
      </c>
      <c r="E33" s="22"/>
    </row>
    <row r="34" spans="1:15" ht="12.75">
      <c r="A34" s="12" t="s">
        <v>123</v>
      </c>
      <c r="E34" s="22">
        <v>7</v>
      </c>
      <c r="F34" s="6">
        <v>25</v>
      </c>
      <c r="G34" s="6">
        <v>44</v>
      </c>
      <c r="H34" s="6">
        <v>24</v>
      </c>
      <c r="I34" s="6">
        <v>30</v>
      </c>
      <c r="J34" s="6">
        <v>28</v>
      </c>
      <c r="K34" s="6">
        <v>85</v>
      </c>
      <c r="L34" s="6">
        <v>43</v>
      </c>
      <c r="M34" s="6">
        <v>38</v>
      </c>
      <c r="N34" s="6">
        <v>17</v>
      </c>
      <c r="O34" s="6" t="s">
        <v>307</v>
      </c>
    </row>
    <row r="35" spans="1:5" ht="12.75">
      <c r="A35" s="12" t="s">
        <v>124</v>
      </c>
      <c r="E35" s="22"/>
    </row>
    <row r="36" spans="1:5" ht="12.75">
      <c r="A36" s="12" t="s">
        <v>125</v>
      </c>
      <c r="E36" s="22"/>
    </row>
    <row r="37" spans="1:5" ht="12.75">
      <c r="A37" s="12" t="s">
        <v>167</v>
      </c>
      <c r="E37" s="22"/>
    </row>
    <row r="38" spans="1:5" ht="12.75">
      <c r="A38" s="12" t="s">
        <v>168</v>
      </c>
      <c r="E38" s="22"/>
    </row>
    <row r="39" spans="1:5" ht="12.75">
      <c r="A39" s="12" t="s">
        <v>126</v>
      </c>
      <c r="E39" s="22"/>
    </row>
    <row r="40" spans="1:5" ht="12.75">
      <c r="A40" s="12" t="s">
        <v>127</v>
      </c>
      <c r="E40" s="22"/>
    </row>
    <row r="41" spans="1:5" ht="12.75">
      <c r="A41" s="12" t="s">
        <v>128</v>
      </c>
      <c r="E41" s="22"/>
    </row>
    <row r="42" spans="1:5" ht="12.75">
      <c r="A42" s="12" t="s">
        <v>129</v>
      </c>
      <c r="E42" s="22"/>
    </row>
    <row r="43" spans="1:5" ht="12.75">
      <c r="A43" s="12" t="s">
        <v>164</v>
      </c>
      <c r="E43" s="22"/>
    </row>
    <row r="44" spans="1:5" ht="12.75">
      <c r="A44" s="12" t="s">
        <v>130</v>
      </c>
      <c r="E44" s="22"/>
    </row>
    <row r="45" spans="1:5" ht="12.75">
      <c r="A45" s="12" t="s">
        <v>131</v>
      </c>
      <c r="E45" s="22"/>
    </row>
    <row r="46" spans="1:5" ht="12.75">
      <c r="A46" s="12" t="s">
        <v>132</v>
      </c>
      <c r="E46" s="22"/>
    </row>
    <row r="47" spans="1:15" ht="12.75">
      <c r="A47" s="12" t="s">
        <v>133</v>
      </c>
      <c r="E47" s="22">
        <v>238</v>
      </c>
      <c r="F47" s="6">
        <v>315</v>
      </c>
      <c r="G47" s="6">
        <v>1390</v>
      </c>
      <c r="H47" s="6">
        <v>690</v>
      </c>
      <c r="I47" s="6">
        <v>100</v>
      </c>
      <c r="J47" s="6">
        <v>120</v>
      </c>
      <c r="K47" s="6">
        <v>180</v>
      </c>
      <c r="L47" s="6">
        <v>330</v>
      </c>
      <c r="M47" s="6">
        <v>110</v>
      </c>
      <c r="N47" s="6">
        <v>440</v>
      </c>
      <c r="O47" s="6" t="s">
        <v>307</v>
      </c>
    </row>
    <row r="48" spans="1:15" ht="12.75">
      <c r="A48" s="12" t="s">
        <v>134</v>
      </c>
      <c r="B48" s="6">
        <v>0.727</v>
      </c>
      <c r="C48" s="6">
        <v>0.645</v>
      </c>
      <c r="D48" s="6">
        <v>0.405</v>
      </c>
      <c r="E48" s="22">
        <v>0.633</v>
      </c>
      <c r="F48" s="6">
        <v>1.04</v>
      </c>
      <c r="G48" s="6">
        <v>0.73</v>
      </c>
      <c r="H48" s="6">
        <v>1.13</v>
      </c>
      <c r="I48" s="6">
        <v>1.2</v>
      </c>
      <c r="J48" s="6">
        <v>0.84</v>
      </c>
      <c r="K48" s="6">
        <v>0.74</v>
      </c>
      <c r="L48" s="6">
        <v>0.67</v>
      </c>
      <c r="M48" s="6">
        <v>0.91</v>
      </c>
      <c r="N48" s="6">
        <v>0.51</v>
      </c>
      <c r="O48" s="6" t="s">
        <v>307</v>
      </c>
    </row>
    <row r="49" spans="1:15" ht="12.75">
      <c r="A49" s="12" t="s">
        <v>135</v>
      </c>
      <c r="B49" s="6">
        <v>1.56</v>
      </c>
      <c r="C49" s="6">
        <v>1.31</v>
      </c>
      <c r="D49" s="6">
        <v>0.545</v>
      </c>
      <c r="E49" s="22">
        <v>1.6</v>
      </c>
      <c r="F49" s="6">
        <v>2.19</v>
      </c>
      <c r="G49" s="6">
        <v>1.7</v>
      </c>
      <c r="H49" s="6">
        <v>2.38</v>
      </c>
      <c r="I49" s="6">
        <v>2.4</v>
      </c>
      <c r="J49" s="6">
        <v>1.9</v>
      </c>
      <c r="K49" s="6">
        <v>1.72</v>
      </c>
      <c r="L49" s="6">
        <v>1.6</v>
      </c>
      <c r="M49" s="6">
        <v>2.1</v>
      </c>
      <c r="N49" s="6">
        <v>1.5</v>
      </c>
      <c r="O49" s="6" t="s">
        <v>307</v>
      </c>
    </row>
    <row r="50" spans="1:5" ht="12.75">
      <c r="A50" s="12" t="s">
        <v>136</v>
      </c>
      <c r="B50" s="6">
        <v>0.251</v>
      </c>
      <c r="C50" s="6">
        <v>0.224</v>
      </c>
      <c r="D50" s="6">
        <v>0.116</v>
      </c>
      <c r="E50" s="22"/>
    </row>
    <row r="51" spans="1:15" ht="12.75">
      <c r="A51" s="12" t="s">
        <v>137</v>
      </c>
      <c r="B51" s="6">
        <v>0.986</v>
      </c>
      <c r="C51" s="6">
        <v>0.831</v>
      </c>
      <c r="D51" s="6">
        <v>0.333</v>
      </c>
      <c r="E51" s="22">
        <v>1.09</v>
      </c>
      <c r="F51" s="6">
        <v>1.12</v>
      </c>
      <c r="G51" s="6">
        <v>1.3</v>
      </c>
      <c r="H51" s="6">
        <v>1.29</v>
      </c>
      <c r="I51" s="6">
        <v>1.2</v>
      </c>
      <c r="J51" s="6">
        <v>1.2</v>
      </c>
      <c r="K51" s="6">
        <v>1.13</v>
      </c>
      <c r="L51" s="6">
        <v>1</v>
      </c>
      <c r="M51" s="6">
        <v>1.3</v>
      </c>
      <c r="N51" s="6">
        <v>1.4</v>
      </c>
      <c r="O51" s="6" t="s">
        <v>307</v>
      </c>
    </row>
    <row r="52" spans="1:15" ht="12.75">
      <c r="A52" s="12" t="s">
        <v>138</v>
      </c>
      <c r="B52" s="6">
        <v>0.291</v>
      </c>
      <c r="C52" s="6">
        <v>0.241</v>
      </c>
      <c r="D52" s="6">
        <v>0.072</v>
      </c>
      <c r="E52" s="22">
        <v>0.301</v>
      </c>
      <c r="F52" s="6">
        <v>0.33</v>
      </c>
      <c r="G52" s="6">
        <v>0.46</v>
      </c>
      <c r="H52" s="6">
        <v>0.38</v>
      </c>
      <c r="I52" s="6">
        <v>0.37</v>
      </c>
      <c r="J52" s="6">
        <v>0.39</v>
      </c>
      <c r="K52" s="6">
        <v>0.37</v>
      </c>
      <c r="L52" s="6">
        <v>0.35</v>
      </c>
      <c r="M52" s="6">
        <v>0.42</v>
      </c>
      <c r="N52" s="6">
        <v>0.52</v>
      </c>
      <c r="O52" s="6" t="s">
        <v>307</v>
      </c>
    </row>
    <row r="53" spans="1:15" ht="12.75">
      <c r="A53" s="12" t="s">
        <v>139</v>
      </c>
      <c r="B53" s="6">
        <v>0.718</v>
      </c>
      <c r="C53" s="6">
        <v>0.668</v>
      </c>
      <c r="D53" s="6">
        <v>0.802</v>
      </c>
      <c r="E53" s="22">
        <v>0.706</v>
      </c>
      <c r="F53" s="6">
        <v>0.81</v>
      </c>
      <c r="G53" s="6">
        <v>0.94</v>
      </c>
      <c r="H53" s="6">
        <v>0.72</v>
      </c>
      <c r="I53" s="6">
        <v>0.83</v>
      </c>
      <c r="J53" s="6">
        <v>0.57</v>
      </c>
      <c r="K53" s="6">
        <v>0.77</v>
      </c>
      <c r="L53" s="6">
        <v>0.88</v>
      </c>
      <c r="M53" s="6">
        <v>0.96</v>
      </c>
      <c r="N53" s="6">
        <v>1.4</v>
      </c>
      <c r="O53" s="6" t="s">
        <v>307</v>
      </c>
    </row>
    <row r="54" spans="1:5" ht="12.75">
      <c r="A54" s="12" t="s">
        <v>140</v>
      </c>
      <c r="B54" s="6">
        <v>0.353</v>
      </c>
      <c r="C54" s="6">
        <v>0.3</v>
      </c>
      <c r="D54" s="6">
        <v>0.117</v>
      </c>
      <c r="E54" s="22"/>
    </row>
    <row r="55" spans="1:15" ht="12.75">
      <c r="A55" s="12" t="s">
        <v>141</v>
      </c>
      <c r="B55" s="6">
        <v>0.0613</v>
      </c>
      <c r="C55" s="6">
        <v>0.0525</v>
      </c>
      <c r="D55" s="6">
        <v>0.0126</v>
      </c>
      <c r="E55" s="22">
        <v>0.067</v>
      </c>
      <c r="F55" s="6">
        <v>0.066</v>
      </c>
      <c r="G55" s="6">
        <v>0.11</v>
      </c>
      <c r="H55" s="6">
        <v>0.087</v>
      </c>
      <c r="I55" s="6">
        <v>0.08</v>
      </c>
      <c r="J55" s="6">
        <v>0.08</v>
      </c>
      <c r="K55" s="6">
        <v>0.097</v>
      </c>
      <c r="L55" s="6">
        <v>0.07</v>
      </c>
      <c r="M55" s="6">
        <v>0.11</v>
      </c>
      <c r="N55" s="6">
        <v>0.11</v>
      </c>
      <c r="O55" s="6" t="s">
        <v>307</v>
      </c>
    </row>
    <row r="56" spans="1:5" ht="12.75">
      <c r="A56" s="12" t="s">
        <v>142</v>
      </c>
      <c r="B56" s="6">
        <v>0.4</v>
      </c>
      <c r="C56" s="6">
        <v>0.351</v>
      </c>
      <c r="D56" s="6">
        <v>0.074</v>
      </c>
      <c r="E56" s="22"/>
    </row>
    <row r="57" spans="1:5" ht="12.75">
      <c r="A57" s="12" t="s">
        <v>143</v>
      </c>
      <c r="B57" s="6">
        <v>0.0857</v>
      </c>
      <c r="C57" s="6">
        <v>0.0781</v>
      </c>
      <c r="D57" s="6">
        <v>0.0184</v>
      </c>
      <c r="E57" s="22"/>
    </row>
    <row r="58" spans="1:5" ht="12.75">
      <c r="A58" s="12" t="s">
        <v>144</v>
      </c>
      <c r="B58" s="6">
        <v>0.254</v>
      </c>
      <c r="C58" s="6">
        <v>0.225</v>
      </c>
      <c r="D58" s="6">
        <v>0.046</v>
      </c>
      <c r="E58" s="22"/>
    </row>
    <row r="59" spans="1:5" ht="12.75">
      <c r="A59" s="12" t="s">
        <v>145</v>
      </c>
      <c r="B59" s="6">
        <v>0.0371</v>
      </c>
      <c r="C59" s="6">
        <v>0.0327</v>
      </c>
      <c r="D59" s="6">
        <v>0.0057</v>
      </c>
      <c r="E59" s="22"/>
    </row>
    <row r="60" spans="1:15" ht="12.75">
      <c r="A60" s="12" t="s">
        <v>146</v>
      </c>
      <c r="B60" s="6">
        <v>0.241</v>
      </c>
      <c r="C60" s="6">
        <v>0.214</v>
      </c>
      <c r="D60" s="6">
        <v>0.045</v>
      </c>
      <c r="E60" s="22">
        <v>0.273</v>
      </c>
      <c r="F60" s="6">
        <v>0.19</v>
      </c>
      <c r="G60" s="6">
        <v>0.35</v>
      </c>
      <c r="H60" s="6">
        <v>0.34</v>
      </c>
      <c r="I60" s="6">
        <v>0.28</v>
      </c>
      <c r="J60" s="6">
        <v>0.26</v>
      </c>
      <c r="K60" s="6">
        <v>0.43</v>
      </c>
      <c r="L60" s="6">
        <v>0.19</v>
      </c>
      <c r="M60" s="6">
        <v>0.42</v>
      </c>
      <c r="N60" s="6">
        <v>0.31</v>
      </c>
      <c r="O60" s="6" t="s">
        <v>307</v>
      </c>
    </row>
    <row r="61" spans="1:15" ht="12.75">
      <c r="A61" s="12" t="s">
        <v>147</v>
      </c>
      <c r="B61" s="6">
        <v>0.036</v>
      </c>
      <c r="C61" s="6">
        <v>0.0315</v>
      </c>
      <c r="D61" s="6">
        <v>0.0046</v>
      </c>
      <c r="E61" s="22">
        <v>0.0399</v>
      </c>
      <c r="F61" s="6">
        <v>0.033</v>
      </c>
      <c r="G61" s="6">
        <v>0.06</v>
      </c>
      <c r="H61" s="6">
        <v>0.059</v>
      </c>
      <c r="I61" s="6">
        <v>0.05</v>
      </c>
      <c r="J61" s="6">
        <v>0.043</v>
      </c>
      <c r="K61" s="6">
        <v>0.077</v>
      </c>
      <c r="L61" s="6">
        <v>0.033</v>
      </c>
      <c r="M61" s="6">
        <v>0.074</v>
      </c>
      <c r="N61" s="6">
        <v>0.049</v>
      </c>
      <c r="O61" s="6" t="s">
        <v>307</v>
      </c>
    </row>
    <row r="62" spans="1:15" ht="12.75">
      <c r="A62" s="12" t="s">
        <v>148</v>
      </c>
      <c r="E62" s="22">
        <v>0.194</v>
      </c>
      <c r="F62" s="6">
        <v>0.24</v>
      </c>
      <c r="G62" s="6">
        <v>0.67</v>
      </c>
      <c r="H62" s="6">
        <v>0.36</v>
      </c>
      <c r="I62" s="6">
        <v>0.28</v>
      </c>
      <c r="J62" s="6">
        <v>0.18</v>
      </c>
      <c r="K62" s="6">
        <v>0.51</v>
      </c>
      <c r="L62" s="6">
        <v>0.55</v>
      </c>
      <c r="M62" s="6">
        <v>0.3</v>
      </c>
      <c r="N62" s="6">
        <v>0.19</v>
      </c>
      <c r="O62" s="6" t="s">
        <v>307</v>
      </c>
    </row>
    <row r="63" spans="1:15" ht="12.75">
      <c r="A63" s="12" t="s">
        <v>149</v>
      </c>
      <c r="E63" s="22">
        <v>0.029</v>
      </c>
      <c r="F63" s="6" t="s">
        <v>307</v>
      </c>
      <c r="G63" s="6">
        <v>0.39</v>
      </c>
      <c r="H63" s="6" t="s">
        <v>307</v>
      </c>
      <c r="I63" s="6">
        <v>0.31</v>
      </c>
      <c r="J63" s="6">
        <v>0.27</v>
      </c>
      <c r="K63" s="6">
        <v>0.36</v>
      </c>
      <c r="L63" s="6">
        <v>0.32</v>
      </c>
      <c r="M63" s="6" t="s">
        <v>307</v>
      </c>
      <c r="N63" s="6">
        <v>0.43</v>
      </c>
      <c r="O63" s="6" t="s">
        <v>307</v>
      </c>
    </row>
    <row r="64" spans="1:5" ht="12.75">
      <c r="A64" s="12" t="s">
        <v>150</v>
      </c>
      <c r="E64" s="22"/>
    </row>
    <row r="65" spans="1:5" ht="12.75">
      <c r="A65" s="12" t="s">
        <v>151</v>
      </c>
      <c r="E65" s="22"/>
    </row>
    <row r="66" spans="1:5" ht="12.75">
      <c r="A66" s="12" t="s">
        <v>152</v>
      </c>
      <c r="E66" s="22"/>
    </row>
    <row r="67" spans="1:15" ht="12.75">
      <c r="A67" s="12" t="s">
        <v>153</v>
      </c>
      <c r="E67" s="22">
        <v>1.1</v>
      </c>
      <c r="F67" s="6">
        <v>9.3</v>
      </c>
      <c r="G67" s="6">
        <v>10.3</v>
      </c>
      <c r="H67" s="6">
        <v>5.9</v>
      </c>
      <c r="I67" s="6" t="s">
        <v>307</v>
      </c>
      <c r="J67" s="6">
        <v>16.9</v>
      </c>
      <c r="K67" s="6">
        <v>9</v>
      </c>
      <c r="L67" s="6">
        <v>6.3</v>
      </c>
      <c r="M67" s="6">
        <v>11.9</v>
      </c>
      <c r="N67" s="6">
        <v>5.7</v>
      </c>
      <c r="O67" s="6" t="s">
        <v>307</v>
      </c>
    </row>
    <row r="68" spans="1:5" ht="12.75">
      <c r="A68" s="12" t="s">
        <v>166</v>
      </c>
      <c r="E68" s="22"/>
    </row>
    <row r="69" spans="1:15" ht="12.75">
      <c r="A69" s="12" t="s">
        <v>154</v>
      </c>
      <c r="E69" s="22">
        <v>2.8</v>
      </c>
      <c r="F69" s="6">
        <v>1</v>
      </c>
      <c r="G69" s="6">
        <v>3</v>
      </c>
      <c r="H69" s="6">
        <v>5</v>
      </c>
      <c r="I69" s="6">
        <v>6</v>
      </c>
      <c r="J69" s="6">
        <v>5</v>
      </c>
      <c r="K69" s="6">
        <v>4</v>
      </c>
      <c r="L69" s="6">
        <v>12</v>
      </c>
      <c r="M69" s="6">
        <v>2</v>
      </c>
      <c r="N69" s="6">
        <v>11</v>
      </c>
      <c r="O69" s="6" t="s">
        <v>307</v>
      </c>
    </row>
    <row r="70" spans="1:15" ht="12.75">
      <c r="A70" s="12" t="s">
        <v>155</v>
      </c>
      <c r="B70" s="6">
        <v>0.0634</v>
      </c>
      <c r="C70" s="6">
        <v>0.0551</v>
      </c>
      <c r="D70" s="6">
        <v>0.0118</v>
      </c>
      <c r="E70" s="22">
        <v>0.069</v>
      </c>
      <c r="F70" s="6">
        <v>0.59</v>
      </c>
      <c r="G70" s="6">
        <v>0.15</v>
      </c>
      <c r="H70" s="6">
        <v>0.28</v>
      </c>
      <c r="I70" s="6">
        <v>0.15</v>
      </c>
      <c r="J70" s="6">
        <v>0.055</v>
      </c>
      <c r="K70" s="6">
        <v>1</v>
      </c>
      <c r="L70" s="6">
        <v>0.32</v>
      </c>
      <c r="M70" s="6">
        <v>0.46</v>
      </c>
      <c r="N70" s="6">
        <v>0.38</v>
      </c>
      <c r="O70" s="6" t="s">
        <v>307</v>
      </c>
    </row>
    <row r="71" spans="1:14" ht="12.75">
      <c r="A71" s="12" t="s">
        <v>156</v>
      </c>
      <c r="B71" s="6">
        <v>0.156</v>
      </c>
      <c r="C71" s="6">
        <v>0.143</v>
      </c>
      <c r="D71" s="6">
        <v>0.241</v>
      </c>
      <c r="E71" s="22">
        <v>0.19</v>
      </c>
      <c r="F71" s="6">
        <v>0.54</v>
      </c>
      <c r="G71" s="6" t="s">
        <v>307</v>
      </c>
      <c r="H71" s="6">
        <v>0.34</v>
      </c>
      <c r="I71" s="6">
        <v>0.52</v>
      </c>
      <c r="J71" s="6">
        <v>0.52</v>
      </c>
      <c r="K71" s="6">
        <v>0.54</v>
      </c>
      <c r="L71" s="6">
        <v>0.2</v>
      </c>
      <c r="M71" s="6">
        <v>0.66</v>
      </c>
      <c r="N71" s="6">
        <v>0.78</v>
      </c>
    </row>
    <row r="72" ht="12.75">
      <c r="A72" s="3" t="s">
        <v>305</v>
      </c>
    </row>
    <row r="73" ht="12.75">
      <c r="A73" s="3"/>
    </row>
    <row r="74" ht="12.75">
      <c r="A74" s="4" t="s">
        <v>40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ht="12.75">
      <c r="A82" s="2" t="s">
        <v>175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 t="s">
        <v>310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3" sqref="A3"/>
    </sheetView>
  </sheetViews>
  <sheetFormatPr defaultColWidth="9.140625" defaultRowHeight="12.75"/>
  <sheetData>
    <row r="1" ht="15">
      <c r="A1" s="16" t="s">
        <v>34</v>
      </c>
    </row>
    <row r="2" ht="12.75">
      <c r="A2" s="12"/>
    </row>
    <row r="3" ht="12.75">
      <c r="A3" s="30" t="s">
        <v>103</v>
      </c>
    </row>
    <row r="4" ht="12.75">
      <c r="A4" s="30" t="s">
        <v>104</v>
      </c>
    </row>
    <row r="5" ht="12.75">
      <c r="A5" s="30" t="s">
        <v>243</v>
      </c>
    </row>
    <row r="6" ht="12.75">
      <c r="A6" s="12"/>
    </row>
    <row r="7" ht="15">
      <c r="A7" s="12" t="s">
        <v>244</v>
      </c>
    </row>
    <row r="8" ht="15">
      <c r="A8" s="12" t="s">
        <v>245</v>
      </c>
    </row>
    <row r="9" ht="15">
      <c r="A9" s="12" t="s">
        <v>56</v>
      </c>
    </row>
    <row r="10" ht="12.75">
      <c r="A10" s="12" t="s">
        <v>105</v>
      </c>
    </row>
    <row r="11" ht="12.75">
      <c r="A11" s="12" t="s">
        <v>106</v>
      </c>
    </row>
    <row r="12" ht="12.75">
      <c r="A12" s="12" t="s">
        <v>108</v>
      </c>
    </row>
    <row r="13" ht="12.75">
      <c r="A13" s="12" t="s">
        <v>107</v>
      </c>
    </row>
    <row r="14" ht="15">
      <c r="A14" s="12" t="s">
        <v>57</v>
      </c>
    </row>
    <row r="15" ht="15">
      <c r="A15" s="12" t="s">
        <v>58</v>
      </c>
    </row>
    <row r="16" ht="15">
      <c r="A16" s="12" t="s">
        <v>59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ht="12.75">
      <c r="A20" s="12" t="s">
        <v>163</v>
      </c>
    </row>
    <row r="21" ht="12.75">
      <c r="A21" s="12" t="s">
        <v>110</v>
      </c>
    </row>
    <row r="22" ht="12.75">
      <c r="A22" s="12" t="s">
        <v>111</v>
      </c>
    </row>
    <row r="23" ht="12.75">
      <c r="A23" s="12" t="s">
        <v>112</v>
      </c>
    </row>
    <row r="24" ht="12.75">
      <c r="A24" s="12" t="s">
        <v>113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ht="12.75">
      <c r="A47" s="12" t="s">
        <v>133</v>
      </c>
    </row>
    <row r="48" ht="12.75">
      <c r="A48" s="12" t="s">
        <v>134</v>
      </c>
    </row>
    <row r="49" ht="12.75">
      <c r="A49" s="12" t="s">
        <v>135</v>
      </c>
    </row>
    <row r="50" ht="12.75">
      <c r="A50" s="12" t="s">
        <v>136</v>
      </c>
    </row>
    <row r="51" ht="12.75">
      <c r="A51" s="12" t="s">
        <v>137</v>
      </c>
    </row>
    <row r="52" ht="12.75">
      <c r="A52" s="12" t="s">
        <v>138</v>
      </c>
    </row>
    <row r="53" ht="12.75">
      <c r="A53" s="12" t="s">
        <v>139</v>
      </c>
    </row>
    <row r="54" ht="12.75">
      <c r="A54" s="12" t="s">
        <v>140</v>
      </c>
    </row>
    <row r="55" ht="12.75">
      <c r="A55" s="12" t="s">
        <v>141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ht="12.75">
      <c r="A60" s="12" t="s">
        <v>146</v>
      </c>
    </row>
    <row r="61" ht="12.75">
      <c r="A61" s="12" t="s">
        <v>147</v>
      </c>
    </row>
    <row r="62" ht="12.75">
      <c r="A62" s="12" t="s">
        <v>148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ht="12.75">
      <c r="A67" s="12" t="s">
        <v>153</v>
      </c>
    </row>
    <row r="68" ht="12.75">
      <c r="A68" s="12" t="s">
        <v>166</v>
      </c>
    </row>
    <row r="69" ht="12.75">
      <c r="A69" s="12" t="s">
        <v>154</v>
      </c>
    </row>
    <row r="70" ht="12.75">
      <c r="A70" s="12" t="s">
        <v>155</v>
      </c>
    </row>
    <row r="71" ht="12.75">
      <c r="A71" s="12" t="s">
        <v>156</v>
      </c>
    </row>
    <row r="73" ht="12.75">
      <c r="A73" s="4" t="s">
        <v>35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3">
      <pane ySplit="1320" topLeftCell="BM1" activePane="bottomLeft" state="split"/>
      <selection pane="topLeft" activeCell="D5" sqref="D5"/>
      <selection pane="bottomLeft" activeCell="A90" sqref="A1:D90"/>
    </sheetView>
  </sheetViews>
  <sheetFormatPr defaultColWidth="9.140625" defaultRowHeight="12.75"/>
  <cols>
    <col min="2" max="4" width="8.8515625" style="6" customWidth="1"/>
  </cols>
  <sheetData>
    <row r="1" ht="15">
      <c r="A1" s="16" t="s">
        <v>32</v>
      </c>
    </row>
    <row r="2" ht="12.75">
      <c r="A2" s="12"/>
    </row>
    <row r="3" spans="1:4" ht="12.75">
      <c r="A3" s="30" t="s">
        <v>103</v>
      </c>
      <c r="B3" s="6">
        <v>1</v>
      </c>
      <c r="C3" s="6">
        <v>1</v>
      </c>
      <c r="D3" s="6">
        <v>2</v>
      </c>
    </row>
    <row r="4" spans="1:4" ht="12.75">
      <c r="A4" s="30" t="s">
        <v>104</v>
      </c>
      <c r="B4" s="6" t="s">
        <v>275</v>
      </c>
      <c r="C4" s="6" t="s">
        <v>275</v>
      </c>
      <c r="D4" s="6">
        <v>1000</v>
      </c>
    </row>
    <row r="5" spans="1:4" ht="12.75">
      <c r="A5" s="30" t="s">
        <v>243</v>
      </c>
      <c r="B5" s="6" t="s">
        <v>82</v>
      </c>
      <c r="C5" s="6" t="s">
        <v>215</v>
      </c>
      <c r="D5" s="6" t="s">
        <v>306</v>
      </c>
    </row>
    <row r="6" ht="12.75">
      <c r="A6" s="12"/>
    </row>
    <row r="7" spans="1:4" ht="15">
      <c r="A7" s="12" t="s">
        <v>244</v>
      </c>
      <c r="B7" s="6">
        <v>44.3</v>
      </c>
      <c r="D7" s="6">
        <v>45.5</v>
      </c>
    </row>
    <row r="8" spans="1:4" ht="15">
      <c r="A8" s="12" t="s">
        <v>245</v>
      </c>
      <c r="B8" s="6">
        <v>0.27</v>
      </c>
      <c r="D8" s="6">
        <v>0.33</v>
      </c>
    </row>
    <row r="9" spans="1:4" ht="15">
      <c r="A9" s="12" t="s">
        <v>56</v>
      </c>
      <c r="B9" s="6">
        <v>29.5</v>
      </c>
      <c r="D9" s="6">
        <v>28.5</v>
      </c>
    </row>
    <row r="10" spans="1:4" ht="12.75">
      <c r="A10" s="12" t="s">
        <v>105</v>
      </c>
      <c r="B10" s="6">
        <v>3.27</v>
      </c>
      <c r="D10" s="6">
        <v>3.08</v>
      </c>
    </row>
    <row r="11" spans="1:4" ht="12.75">
      <c r="A11" s="12" t="s">
        <v>106</v>
      </c>
      <c r="B11" s="6">
        <v>0.05</v>
      </c>
      <c r="D11" s="6">
        <v>0.05</v>
      </c>
    </row>
    <row r="12" spans="1:4" ht="12.75">
      <c r="A12" s="12" t="s">
        <v>108</v>
      </c>
      <c r="B12" s="6">
        <v>5.37</v>
      </c>
      <c r="D12" s="6">
        <v>5.47</v>
      </c>
    </row>
    <row r="13" spans="1:4" ht="12.75">
      <c r="A13" s="12" t="s">
        <v>107</v>
      </c>
      <c r="B13" s="6">
        <v>16.2</v>
      </c>
      <c r="D13" s="6">
        <v>16.2</v>
      </c>
    </row>
    <row r="14" spans="1:4" ht="15">
      <c r="A14" s="12" t="s">
        <v>57</v>
      </c>
      <c r="B14" s="6">
        <v>0.7</v>
      </c>
      <c r="D14" s="6">
        <v>0.71</v>
      </c>
    </row>
    <row r="15" spans="1:4" ht="15">
      <c r="A15" s="12" t="s">
        <v>58</v>
      </c>
      <c r="B15" s="6">
        <v>0.04</v>
      </c>
      <c r="D15" s="6">
        <v>0.03</v>
      </c>
    </row>
    <row r="16" spans="1:2" ht="15">
      <c r="A16" s="12" t="s">
        <v>59</v>
      </c>
      <c r="B16" s="6">
        <v>0.02</v>
      </c>
    </row>
    <row r="17" ht="12.75">
      <c r="A17" s="12" t="s">
        <v>181</v>
      </c>
    </row>
    <row r="18" spans="1:2" ht="12.75">
      <c r="A18" s="12" t="s">
        <v>109</v>
      </c>
      <c r="B18" s="6">
        <v>99.77</v>
      </c>
    </row>
    <row r="19" ht="12.75">
      <c r="A19" s="12"/>
    </row>
    <row r="20" spans="1:4" ht="12.75">
      <c r="A20" s="12" t="s">
        <v>163</v>
      </c>
      <c r="C20" s="6">
        <v>3.89</v>
      </c>
      <c r="D20" s="6">
        <v>6</v>
      </c>
    </row>
    <row r="21" ht="12.75">
      <c r="A21" s="12" t="s">
        <v>110</v>
      </c>
    </row>
    <row r="22" spans="1:4" ht="12.75">
      <c r="A22" s="12" t="s">
        <v>111</v>
      </c>
      <c r="C22" s="6">
        <v>171</v>
      </c>
      <c r="D22" s="6">
        <v>300</v>
      </c>
    </row>
    <row r="23" spans="1:4" ht="12.75">
      <c r="A23" s="12" t="s">
        <v>112</v>
      </c>
      <c r="C23" s="6">
        <v>9.9</v>
      </c>
      <c r="D23" s="6">
        <v>12.2</v>
      </c>
    </row>
    <row r="24" spans="1:4" ht="12.75">
      <c r="A24" s="12" t="s">
        <v>113</v>
      </c>
      <c r="C24" s="6">
        <v>35</v>
      </c>
      <c r="D24" s="6">
        <v>47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spans="1:4" ht="12.75">
      <c r="A32" s="12" t="s">
        <v>121</v>
      </c>
      <c r="C32" s="6">
        <v>410</v>
      </c>
      <c r="D32" s="6">
        <v>212</v>
      </c>
    </row>
    <row r="33" ht="12.75">
      <c r="A33" s="12" t="s">
        <v>122</v>
      </c>
    </row>
    <row r="34" spans="1:4" ht="12.75">
      <c r="A34" s="12" t="s">
        <v>123</v>
      </c>
      <c r="C34" s="6">
        <v>10</v>
      </c>
      <c r="D34" s="6">
        <v>20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spans="1:4" ht="12.75">
      <c r="A47" s="12" t="s">
        <v>133</v>
      </c>
      <c r="C47" s="6">
        <v>90</v>
      </c>
      <c r="D47" s="6">
        <v>297</v>
      </c>
    </row>
    <row r="48" spans="1:4" ht="12.75">
      <c r="A48" s="12" t="s">
        <v>134</v>
      </c>
      <c r="C48" s="6">
        <v>1.58</v>
      </c>
      <c r="D48" s="6">
        <v>1.2</v>
      </c>
    </row>
    <row r="49" spans="1:4" ht="12.75">
      <c r="A49" s="12" t="s">
        <v>135</v>
      </c>
      <c r="C49" s="6">
        <v>3.66</v>
      </c>
      <c r="D49" s="6">
        <v>3</v>
      </c>
    </row>
    <row r="50" ht="12.75">
      <c r="A50" s="12" t="s">
        <v>136</v>
      </c>
    </row>
    <row r="51" spans="1:4" ht="12.75">
      <c r="A51" s="12" t="s">
        <v>137</v>
      </c>
      <c r="C51" s="6">
        <v>2.3</v>
      </c>
      <c r="D51" s="6">
        <v>2.6</v>
      </c>
    </row>
    <row r="52" spans="1:4" ht="12.75">
      <c r="A52" s="12" t="s">
        <v>138</v>
      </c>
      <c r="C52" s="6">
        <v>0.58</v>
      </c>
      <c r="D52" s="6">
        <v>0.97</v>
      </c>
    </row>
    <row r="53" spans="1:4" ht="12.75">
      <c r="A53" s="12" t="s">
        <v>139</v>
      </c>
      <c r="C53" s="6">
        <v>1.63</v>
      </c>
      <c r="D53" s="6">
        <v>2.5</v>
      </c>
    </row>
    <row r="54" ht="12.75">
      <c r="A54" s="12" t="s">
        <v>140</v>
      </c>
    </row>
    <row r="55" spans="1:4" ht="12.75">
      <c r="A55" s="12" t="s">
        <v>141</v>
      </c>
      <c r="C55" s="6">
        <v>0.109</v>
      </c>
      <c r="D55" s="6">
        <v>0.17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spans="1:4" ht="12.75">
      <c r="A60" s="12" t="s">
        <v>146</v>
      </c>
      <c r="C60" s="6">
        <v>0.36</v>
      </c>
      <c r="D60" s="6">
        <v>0.42</v>
      </c>
    </row>
    <row r="61" spans="1:4" ht="12.75">
      <c r="A61" s="12" t="s">
        <v>147</v>
      </c>
      <c r="C61" s="6">
        <v>0.05</v>
      </c>
      <c r="D61" s="6">
        <v>0.065</v>
      </c>
    </row>
    <row r="62" spans="1:4" ht="12.75">
      <c r="A62" s="12" t="s">
        <v>148</v>
      </c>
      <c r="C62" s="6">
        <v>0.34</v>
      </c>
      <c r="D62" s="6">
        <v>0.77</v>
      </c>
    </row>
    <row r="63" spans="1:4" ht="12.75">
      <c r="A63" s="12" t="s">
        <v>149</v>
      </c>
      <c r="C63" s="6">
        <v>0.06</v>
      </c>
      <c r="D63" s="6">
        <v>0.28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spans="1:4" ht="12.75">
      <c r="A67" s="12" t="s">
        <v>153</v>
      </c>
      <c r="C67" s="6">
        <v>1.3</v>
      </c>
      <c r="D67" s="6">
        <v>1.3</v>
      </c>
    </row>
    <row r="68" ht="12.75">
      <c r="A68" s="12" t="s">
        <v>166</v>
      </c>
    </row>
    <row r="69" spans="1:4" ht="12.75">
      <c r="A69" s="12" t="s">
        <v>154</v>
      </c>
      <c r="C69" s="6">
        <v>5</v>
      </c>
      <c r="D69" s="6">
        <v>43</v>
      </c>
    </row>
    <row r="70" spans="1:4" ht="12.75">
      <c r="A70" s="12" t="s">
        <v>155</v>
      </c>
      <c r="C70" s="6">
        <v>0.104</v>
      </c>
      <c r="D70" s="6">
        <v>0.6</v>
      </c>
    </row>
    <row r="71" spans="1:4" ht="12.75">
      <c r="A71" s="12" t="s">
        <v>156</v>
      </c>
      <c r="C71" s="6">
        <v>0.14</v>
      </c>
      <c r="D71" s="6">
        <v>0.72</v>
      </c>
    </row>
    <row r="72" spans="1:15" ht="12.75">
      <c r="A72" s="3" t="s">
        <v>305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4" ht="12.75">
      <c r="A74" s="4" t="s">
        <v>33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ht="12.75">
      <c r="A82" s="2" t="s">
        <v>175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 t="s">
        <v>311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3" sqref="A3"/>
    </sheetView>
  </sheetViews>
  <sheetFormatPr defaultColWidth="9.140625" defaultRowHeight="12.75"/>
  <sheetData>
    <row r="1" ht="15">
      <c r="A1" s="16" t="s">
        <v>30</v>
      </c>
    </row>
    <row r="2" ht="12.75">
      <c r="A2" s="12"/>
    </row>
    <row r="3" ht="12.75">
      <c r="A3" s="30" t="s">
        <v>103</v>
      </c>
    </row>
    <row r="4" ht="12.75">
      <c r="A4" s="30" t="s">
        <v>104</v>
      </c>
    </row>
    <row r="5" ht="12.75">
      <c r="A5" s="30" t="s">
        <v>243</v>
      </c>
    </row>
    <row r="6" ht="12.75">
      <c r="A6" s="12"/>
    </row>
    <row r="7" ht="15">
      <c r="A7" s="12" t="s">
        <v>244</v>
      </c>
    </row>
    <row r="8" ht="15">
      <c r="A8" s="12" t="s">
        <v>245</v>
      </c>
    </row>
    <row r="9" ht="15">
      <c r="A9" s="12" t="s">
        <v>56</v>
      </c>
    </row>
    <row r="10" ht="12.75">
      <c r="A10" s="12" t="s">
        <v>105</v>
      </c>
    </row>
    <row r="11" ht="12.75">
      <c r="A11" s="12" t="s">
        <v>106</v>
      </c>
    </row>
    <row r="12" ht="12.75">
      <c r="A12" s="12" t="s">
        <v>108</v>
      </c>
    </row>
    <row r="13" ht="12.75">
      <c r="A13" s="12" t="s">
        <v>107</v>
      </c>
    </row>
    <row r="14" ht="15">
      <c r="A14" s="12" t="s">
        <v>57</v>
      </c>
    </row>
    <row r="15" ht="15">
      <c r="A15" s="12" t="s">
        <v>58</v>
      </c>
    </row>
    <row r="16" ht="15">
      <c r="A16" s="12" t="s">
        <v>59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ht="12.75">
      <c r="A20" s="12" t="s">
        <v>163</v>
      </c>
    </row>
    <row r="21" ht="12.75">
      <c r="A21" s="12" t="s">
        <v>110</v>
      </c>
    </row>
    <row r="22" ht="12.75">
      <c r="A22" s="12" t="s">
        <v>111</v>
      </c>
    </row>
    <row r="23" ht="12.75">
      <c r="A23" s="12" t="s">
        <v>112</v>
      </c>
    </row>
    <row r="24" ht="12.75">
      <c r="A24" s="12" t="s">
        <v>113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ht="12.75">
      <c r="A47" s="12" t="s">
        <v>133</v>
      </c>
    </row>
    <row r="48" ht="12.75">
      <c r="A48" s="12" t="s">
        <v>134</v>
      </c>
    </row>
    <row r="49" ht="12.75">
      <c r="A49" s="12" t="s">
        <v>135</v>
      </c>
    </row>
    <row r="50" ht="12.75">
      <c r="A50" s="12" t="s">
        <v>136</v>
      </c>
    </row>
    <row r="51" ht="12.75">
      <c r="A51" s="12" t="s">
        <v>137</v>
      </c>
    </row>
    <row r="52" ht="12.75">
      <c r="A52" s="12" t="s">
        <v>138</v>
      </c>
    </row>
    <row r="53" ht="12.75">
      <c r="A53" s="12" t="s">
        <v>139</v>
      </c>
    </row>
    <row r="54" ht="12.75">
      <c r="A54" s="12" t="s">
        <v>140</v>
      </c>
    </row>
    <row r="55" ht="12.75">
      <c r="A55" s="12" t="s">
        <v>141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ht="12.75">
      <c r="A60" s="12" t="s">
        <v>146</v>
      </c>
    </row>
    <row r="61" ht="12.75">
      <c r="A61" s="12" t="s">
        <v>147</v>
      </c>
    </row>
    <row r="62" ht="12.75">
      <c r="A62" s="12" t="s">
        <v>148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ht="12.75">
      <c r="A67" s="12" t="s">
        <v>153</v>
      </c>
    </row>
    <row r="68" ht="12.75">
      <c r="A68" s="12" t="s">
        <v>166</v>
      </c>
    </row>
    <row r="69" ht="12.75">
      <c r="A69" s="12" t="s">
        <v>154</v>
      </c>
    </row>
    <row r="70" ht="12.75">
      <c r="A70" s="12" t="s">
        <v>155</v>
      </c>
    </row>
    <row r="71" ht="12.75">
      <c r="A71" s="12" t="s">
        <v>156</v>
      </c>
    </row>
    <row r="73" ht="12.75">
      <c r="A73" s="4" t="s">
        <v>31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J11" sqref="J11"/>
    </sheetView>
  </sheetViews>
  <sheetFormatPr defaultColWidth="9.140625" defaultRowHeight="12.75"/>
  <cols>
    <col min="1" max="1" width="8.7109375" style="0" customWidth="1"/>
    <col min="2" max="9" width="8.8515625" style="6" customWidth="1"/>
  </cols>
  <sheetData>
    <row r="1" ht="13.5">
      <c r="A1" s="5" t="s">
        <v>68</v>
      </c>
    </row>
    <row r="2" spans="1:9" s="2" customFormat="1" ht="9.75">
      <c r="A2" s="1"/>
      <c r="B2" s="7"/>
      <c r="C2" s="7"/>
      <c r="D2" s="7"/>
      <c r="E2" s="7"/>
      <c r="F2" s="7"/>
      <c r="G2" s="7"/>
      <c r="H2" s="7"/>
      <c r="I2" s="7"/>
    </row>
    <row r="3" spans="1:9" ht="12.75">
      <c r="A3" s="3" t="s">
        <v>103</v>
      </c>
      <c r="B3" s="6">
        <v>1</v>
      </c>
      <c r="C3" s="6">
        <v>2</v>
      </c>
      <c r="D3" s="6">
        <v>3</v>
      </c>
      <c r="E3" s="6">
        <v>3</v>
      </c>
      <c r="F3" s="6">
        <v>3</v>
      </c>
      <c r="G3" s="6">
        <v>3</v>
      </c>
      <c r="H3" s="6">
        <v>3</v>
      </c>
      <c r="I3" s="6">
        <v>4</v>
      </c>
    </row>
    <row r="4" spans="1:9" ht="12.75">
      <c r="A4" s="3" t="s">
        <v>104</v>
      </c>
      <c r="B4" s="6">
        <v>535</v>
      </c>
      <c r="C4" s="6">
        <v>312</v>
      </c>
      <c r="D4" s="6">
        <v>16</v>
      </c>
      <c r="E4" s="6">
        <v>21</v>
      </c>
      <c r="F4" s="6">
        <v>34</v>
      </c>
      <c r="G4" s="6">
        <v>12</v>
      </c>
      <c r="H4" s="6" t="s">
        <v>70</v>
      </c>
      <c r="I4" s="6">
        <v>493.6</v>
      </c>
    </row>
    <row r="5" spans="1:9" ht="12.75">
      <c r="A5" s="3" t="s">
        <v>243</v>
      </c>
      <c r="B5" s="6" t="s">
        <v>43</v>
      </c>
      <c r="C5" s="6" t="s">
        <v>44</v>
      </c>
      <c r="D5" s="6" t="s">
        <v>45</v>
      </c>
      <c r="E5" s="6" t="s">
        <v>45</v>
      </c>
      <c r="F5" s="6" t="s">
        <v>45</v>
      </c>
      <c r="G5" s="6" t="s">
        <v>45</v>
      </c>
      <c r="H5" s="6" t="s">
        <v>45</v>
      </c>
      <c r="I5" s="6" t="s">
        <v>45</v>
      </c>
    </row>
    <row r="6" ht="12.75">
      <c r="A6" s="3"/>
    </row>
    <row r="7" spans="1:9" ht="12.75">
      <c r="A7" s="2" t="s">
        <v>162</v>
      </c>
      <c r="B7" s="6">
        <v>38.6</v>
      </c>
      <c r="C7" s="6">
        <v>43.41</v>
      </c>
      <c r="D7" s="6">
        <v>44.2</v>
      </c>
      <c r="E7" s="6">
        <v>44.5</v>
      </c>
      <c r="F7" s="6">
        <v>44.7</v>
      </c>
      <c r="G7" s="6">
        <v>44.9</v>
      </c>
      <c r="H7" s="6">
        <v>44.6</v>
      </c>
      <c r="I7" s="22">
        <v>44.8</v>
      </c>
    </row>
    <row r="8" spans="1:9" ht="12.75">
      <c r="A8" s="2" t="s">
        <v>157</v>
      </c>
      <c r="B8" s="6">
        <v>0.28</v>
      </c>
      <c r="C8" s="6">
        <v>0.28</v>
      </c>
      <c r="D8" s="6">
        <v>0.28</v>
      </c>
      <c r="E8" s="6">
        <v>0.29</v>
      </c>
      <c r="F8" s="6">
        <v>0.28</v>
      </c>
      <c r="G8" s="6">
        <v>0.29</v>
      </c>
      <c r="H8" s="6">
        <v>0.28</v>
      </c>
      <c r="I8" s="22">
        <v>0.286</v>
      </c>
    </row>
    <row r="9" spans="1:9" ht="12.75">
      <c r="A9" s="2" t="s">
        <v>158</v>
      </c>
      <c r="B9" s="6">
        <v>29.06</v>
      </c>
      <c r="C9" s="6">
        <v>25.71</v>
      </c>
      <c r="D9" s="6">
        <v>26.2</v>
      </c>
      <c r="E9" s="6">
        <v>26.9</v>
      </c>
      <c r="F9" s="6">
        <v>26.4</v>
      </c>
      <c r="G9" s="6">
        <v>25.7</v>
      </c>
      <c r="H9" s="6">
        <v>26.4</v>
      </c>
      <c r="I9" s="22">
        <v>26.5</v>
      </c>
    </row>
    <row r="10" spans="1:9" ht="12.75">
      <c r="A10" s="2" t="s">
        <v>105</v>
      </c>
      <c r="B10" s="6">
        <v>6.8</v>
      </c>
      <c r="C10" s="6">
        <v>6.3</v>
      </c>
      <c r="D10" s="6">
        <v>6.42</v>
      </c>
      <c r="E10" s="6">
        <v>6.24</v>
      </c>
      <c r="F10" s="6">
        <v>6.25</v>
      </c>
      <c r="G10" s="6">
        <v>6.15</v>
      </c>
      <c r="H10" s="6">
        <v>6.26</v>
      </c>
      <c r="I10" s="22">
        <v>6.26</v>
      </c>
    </row>
    <row r="11" spans="1:9" ht="12.75">
      <c r="A11" s="2" t="s">
        <v>106</v>
      </c>
      <c r="B11" s="6">
        <v>0.09</v>
      </c>
      <c r="C11" s="6">
        <v>0.09</v>
      </c>
      <c r="D11" s="6">
        <v>0.07</v>
      </c>
      <c r="E11" s="6">
        <v>0.09</v>
      </c>
      <c r="F11" s="6">
        <v>0.09</v>
      </c>
      <c r="G11" s="6">
        <v>0.11</v>
      </c>
      <c r="H11" s="6">
        <v>0.09</v>
      </c>
      <c r="I11" s="22">
        <v>0.09</v>
      </c>
    </row>
    <row r="12" spans="1:9" ht="12.75">
      <c r="A12" s="2" t="s">
        <v>108</v>
      </c>
      <c r="B12" s="6">
        <v>7.4</v>
      </c>
      <c r="C12" s="6">
        <v>6.8</v>
      </c>
      <c r="D12" s="6">
        <v>6.8</v>
      </c>
      <c r="E12" s="6">
        <v>6.2</v>
      </c>
      <c r="F12" s="6">
        <v>6.7</v>
      </c>
      <c r="G12" s="6">
        <v>7.3</v>
      </c>
      <c r="H12" s="6">
        <v>6.7</v>
      </c>
      <c r="I12" s="22">
        <v>6.7</v>
      </c>
    </row>
    <row r="13" spans="1:9" ht="12.75">
      <c r="A13" s="2" t="s">
        <v>107</v>
      </c>
      <c r="B13" s="6">
        <v>17.26</v>
      </c>
      <c r="C13" s="6">
        <v>15.19</v>
      </c>
      <c r="D13" s="6">
        <v>15.3</v>
      </c>
      <c r="E13" s="6">
        <v>15.6</v>
      </c>
      <c r="F13" s="6">
        <v>15.3</v>
      </c>
      <c r="G13" s="6">
        <v>15</v>
      </c>
      <c r="H13" s="6">
        <v>15.3</v>
      </c>
      <c r="I13" s="22">
        <v>15.4</v>
      </c>
    </row>
    <row r="14" spans="1:9" ht="12.75">
      <c r="A14" s="2" t="s">
        <v>159</v>
      </c>
      <c r="B14" s="6">
        <v>0.38</v>
      </c>
      <c r="C14" s="6">
        <v>0.36</v>
      </c>
      <c r="D14" s="6">
        <v>0.34</v>
      </c>
      <c r="E14" s="6">
        <v>0.33</v>
      </c>
      <c r="F14" s="6">
        <v>0.33</v>
      </c>
      <c r="G14" s="6">
        <v>0.28</v>
      </c>
      <c r="H14" s="6">
        <v>0.33</v>
      </c>
      <c r="I14" s="22">
        <v>0.333</v>
      </c>
    </row>
    <row r="15" spans="1:9" ht="12.75">
      <c r="A15" s="2" t="s">
        <v>160</v>
      </c>
      <c r="B15" s="6">
        <v>0.05</v>
      </c>
      <c r="C15" s="6">
        <v>0.03</v>
      </c>
      <c r="D15" s="6">
        <v>0.02</v>
      </c>
      <c r="E15" s="6">
        <v>0.03</v>
      </c>
      <c r="F15" s="6">
        <v>0.02</v>
      </c>
      <c r="G15" s="6">
        <v>0.02</v>
      </c>
      <c r="H15" s="6">
        <v>0.02</v>
      </c>
      <c r="I15" s="22">
        <v>0.021</v>
      </c>
    </row>
    <row r="16" spans="1:9" ht="12.75">
      <c r="A16" s="2" t="s">
        <v>161</v>
      </c>
      <c r="B16" s="6">
        <v>0.08</v>
      </c>
      <c r="C16" s="6">
        <v>0.03</v>
      </c>
      <c r="D16" s="6">
        <v>0.03</v>
      </c>
      <c r="E16" s="6">
        <v>0.03</v>
      </c>
      <c r="F16" s="6">
        <v>0.02</v>
      </c>
      <c r="G16" s="6">
        <v>0.03</v>
      </c>
      <c r="H16" s="6">
        <v>0.03</v>
      </c>
      <c r="I16" s="22">
        <v>0.027</v>
      </c>
    </row>
    <row r="17" spans="1:9" ht="12.75">
      <c r="A17" s="2" t="s">
        <v>181</v>
      </c>
      <c r="I17" s="22"/>
    </row>
    <row r="18" spans="1:9" ht="12.75">
      <c r="A18" s="3" t="s">
        <v>109</v>
      </c>
      <c r="I18" s="22">
        <v>100.14</v>
      </c>
    </row>
    <row r="19" ht="12.75">
      <c r="A19" s="3"/>
    </row>
    <row r="20" spans="1:9" ht="12.75">
      <c r="A20" s="2" t="s">
        <v>163</v>
      </c>
      <c r="B20" s="6">
        <v>11.8</v>
      </c>
      <c r="C20" s="6">
        <v>13</v>
      </c>
      <c r="I20" s="22">
        <v>12.65</v>
      </c>
    </row>
    <row r="21" spans="1:9" ht="12.75">
      <c r="A21" s="2" t="s">
        <v>110</v>
      </c>
      <c r="B21" s="6">
        <v>50.6</v>
      </c>
      <c r="C21" s="6">
        <v>32</v>
      </c>
      <c r="I21" s="22"/>
    </row>
    <row r="22" spans="1:9" ht="12.75">
      <c r="A22" s="2" t="s">
        <v>111</v>
      </c>
      <c r="C22" s="6">
        <v>1168</v>
      </c>
      <c r="D22" s="21">
        <f>0.17/152*2*52*10000</f>
        <v>1163.1578947368423</v>
      </c>
      <c r="E22" s="21">
        <f>0.15/152*2*52*10000</f>
        <v>1026.3157894736842</v>
      </c>
      <c r="F22" s="21">
        <f>0.15/152*2*52*10000</f>
        <v>1026.3157894736842</v>
      </c>
      <c r="G22" s="21">
        <f>0.16/152*2*52*10000</f>
        <v>1094.7368421052631</v>
      </c>
      <c r="H22" s="21">
        <f>0.16/152*2*52*10000</f>
        <v>1094.7368421052631</v>
      </c>
      <c r="I22" s="22">
        <v>1075</v>
      </c>
    </row>
    <row r="23" spans="1:9" ht="12.75">
      <c r="A23" s="2" t="s">
        <v>112</v>
      </c>
      <c r="B23" s="6">
        <v>29.8</v>
      </c>
      <c r="C23" s="6">
        <v>27</v>
      </c>
      <c r="I23" s="22">
        <v>29.2</v>
      </c>
    </row>
    <row r="24" spans="1:9" ht="12.75">
      <c r="A24" s="2" t="s">
        <v>113</v>
      </c>
      <c r="B24" s="6">
        <v>353.67</v>
      </c>
      <c r="C24" s="6">
        <v>324</v>
      </c>
      <c r="I24" s="22">
        <v>354</v>
      </c>
    </row>
    <row r="25" spans="1:9" ht="12.75">
      <c r="A25" s="2" t="s">
        <v>114</v>
      </c>
      <c r="C25" s="6">
        <v>11</v>
      </c>
      <c r="I25" s="22"/>
    </row>
    <row r="26" spans="1:9" ht="12.75">
      <c r="A26" s="2" t="s">
        <v>115</v>
      </c>
      <c r="C26" s="6">
        <v>17</v>
      </c>
      <c r="I26" s="22"/>
    </row>
    <row r="27" spans="1:9" ht="12.75">
      <c r="A27" s="2" t="s">
        <v>116</v>
      </c>
      <c r="B27" s="6">
        <v>3.86</v>
      </c>
      <c r="C27" s="6">
        <v>3.14</v>
      </c>
      <c r="I27" s="22"/>
    </row>
    <row r="28" spans="1:9" ht="12.75">
      <c r="A28" s="2" t="s">
        <v>117</v>
      </c>
      <c r="I28" s="22"/>
    </row>
    <row r="29" spans="1:9" ht="12.75">
      <c r="A29" s="2" t="s">
        <v>118</v>
      </c>
      <c r="I29" s="22"/>
    </row>
    <row r="30" spans="1:9" ht="12.75">
      <c r="A30" s="2" t="s">
        <v>119</v>
      </c>
      <c r="I30" s="22"/>
    </row>
    <row r="31" spans="1:9" ht="12.75">
      <c r="A31" s="2" t="s">
        <v>120</v>
      </c>
      <c r="B31" s="6">
        <v>0.82</v>
      </c>
      <c r="C31" s="6">
        <v>0.588</v>
      </c>
      <c r="I31" s="22"/>
    </row>
    <row r="32" spans="1:9" ht="12.75">
      <c r="A32" s="2" t="s">
        <v>121</v>
      </c>
      <c r="B32" s="6">
        <v>151.5</v>
      </c>
      <c r="C32" s="6">
        <v>144</v>
      </c>
      <c r="I32" s="22">
        <v>147</v>
      </c>
    </row>
    <row r="33" spans="1:9" ht="12.75">
      <c r="A33" s="2" t="s">
        <v>122</v>
      </c>
      <c r="B33" s="6">
        <v>9.77</v>
      </c>
      <c r="C33" s="6">
        <v>11</v>
      </c>
      <c r="I33" s="22"/>
    </row>
    <row r="34" spans="1:9" ht="12.75">
      <c r="A34" s="2" t="s">
        <v>123</v>
      </c>
      <c r="B34" s="6">
        <v>40.2</v>
      </c>
      <c r="C34" s="6">
        <v>58</v>
      </c>
      <c r="I34" s="22">
        <v>36</v>
      </c>
    </row>
    <row r="35" spans="1:9" ht="12.75">
      <c r="A35" s="2" t="s">
        <v>124</v>
      </c>
      <c r="B35" s="6">
        <v>2.5</v>
      </c>
      <c r="C35" s="6">
        <v>2.64</v>
      </c>
      <c r="I35" s="22"/>
    </row>
    <row r="36" spans="1:9" ht="12.75">
      <c r="A36" s="2" t="s">
        <v>125</v>
      </c>
      <c r="C36" s="6">
        <v>0.413</v>
      </c>
      <c r="I36" s="22"/>
    </row>
    <row r="37" spans="1:9" ht="12.75">
      <c r="A37" s="2" t="s">
        <v>167</v>
      </c>
      <c r="I37" s="22"/>
    </row>
    <row r="38" spans="1:9" ht="12.75">
      <c r="A38" s="2" t="s">
        <v>168</v>
      </c>
      <c r="I38" s="22"/>
    </row>
    <row r="39" spans="1:9" ht="12.75">
      <c r="A39" s="2" t="s">
        <v>126</v>
      </c>
      <c r="I39" s="22"/>
    </row>
    <row r="40" spans="1:9" ht="12.75">
      <c r="A40" s="2" t="s">
        <v>127</v>
      </c>
      <c r="I40" s="22"/>
    </row>
    <row r="41" spans="1:9" ht="12.75">
      <c r="A41" s="2" t="s">
        <v>128</v>
      </c>
      <c r="I41" s="22"/>
    </row>
    <row r="42" spans="1:9" ht="12.75">
      <c r="A42" s="2" t="s">
        <v>129</v>
      </c>
      <c r="I42" s="22"/>
    </row>
    <row r="43" spans="1:9" ht="12.75">
      <c r="A43" s="2" t="s">
        <v>164</v>
      </c>
      <c r="I43" s="22"/>
    </row>
    <row r="44" spans="1:9" ht="12.75">
      <c r="A44" s="2" t="s">
        <v>130</v>
      </c>
      <c r="I44" s="22"/>
    </row>
    <row r="45" spans="1:9" ht="12.75">
      <c r="A45" s="2" t="s">
        <v>131</v>
      </c>
      <c r="I45" s="22"/>
    </row>
    <row r="46" spans="1:9" ht="12.75">
      <c r="A46" s="2" t="s">
        <v>132</v>
      </c>
      <c r="B46" s="6">
        <v>0.09</v>
      </c>
      <c r="C46" s="6">
        <v>0.047</v>
      </c>
      <c r="I46" s="22"/>
    </row>
    <row r="47" spans="1:9" ht="12.75">
      <c r="A47" s="2" t="s">
        <v>133</v>
      </c>
      <c r="B47" s="6">
        <v>34.8</v>
      </c>
      <c r="C47" s="6">
        <v>70</v>
      </c>
      <c r="I47" s="22">
        <v>34</v>
      </c>
    </row>
    <row r="48" spans="1:9" ht="12.75">
      <c r="A48" s="2" t="s">
        <v>134</v>
      </c>
      <c r="B48" s="6">
        <v>2.67</v>
      </c>
      <c r="C48" s="6">
        <v>2.52</v>
      </c>
      <c r="I48" s="22">
        <v>2.55</v>
      </c>
    </row>
    <row r="49" spans="1:9" ht="12.75">
      <c r="A49" s="2" t="s">
        <v>135</v>
      </c>
      <c r="B49" s="6">
        <v>7.69</v>
      </c>
      <c r="C49" s="6">
        <v>6.21</v>
      </c>
      <c r="I49" s="22">
        <v>6.85</v>
      </c>
    </row>
    <row r="50" spans="1:9" ht="12.75">
      <c r="A50" s="2" t="s">
        <v>136</v>
      </c>
      <c r="B50" s="6">
        <v>1.06</v>
      </c>
      <c r="C50" s="6">
        <v>0.888</v>
      </c>
      <c r="I50" s="22"/>
    </row>
    <row r="51" spans="1:9" ht="12.75">
      <c r="A51" s="2" t="s">
        <v>137</v>
      </c>
      <c r="B51" s="6">
        <v>5.28</v>
      </c>
      <c r="C51" s="6">
        <v>4.19</v>
      </c>
      <c r="I51" s="22">
        <v>4.2</v>
      </c>
    </row>
    <row r="52" spans="1:9" ht="12.75">
      <c r="A52" s="2" t="s">
        <v>138</v>
      </c>
      <c r="B52" s="6">
        <v>1.89</v>
      </c>
      <c r="C52" s="6">
        <v>1.22</v>
      </c>
      <c r="I52" s="22">
        <v>1.269</v>
      </c>
    </row>
    <row r="53" spans="1:9" ht="12.75">
      <c r="A53" s="2" t="s">
        <v>139</v>
      </c>
      <c r="B53" s="6">
        <v>0.9</v>
      </c>
      <c r="C53" s="6">
        <v>0.88</v>
      </c>
      <c r="I53" s="22">
        <v>0.763</v>
      </c>
    </row>
    <row r="54" spans="1:9" ht="12.75">
      <c r="A54" s="2" t="s">
        <v>140</v>
      </c>
      <c r="B54" s="6">
        <v>2.13</v>
      </c>
      <c r="C54" s="6">
        <v>1.44</v>
      </c>
      <c r="I54" s="22"/>
    </row>
    <row r="55" spans="1:9" ht="12.75">
      <c r="A55" s="2" t="s">
        <v>141</v>
      </c>
      <c r="B55" s="6">
        <v>0.4</v>
      </c>
      <c r="C55" s="6">
        <v>0.287</v>
      </c>
      <c r="I55" s="22">
        <v>0.282</v>
      </c>
    </row>
    <row r="56" spans="1:9" ht="12.75">
      <c r="A56" s="2" t="s">
        <v>142</v>
      </c>
      <c r="B56" s="6">
        <v>2.1</v>
      </c>
      <c r="C56" s="6">
        <v>1.81</v>
      </c>
      <c r="I56" s="22"/>
    </row>
    <row r="57" spans="1:9" ht="12.75">
      <c r="A57" s="2" t="s">
        <v>143</v>
      </c>
      <c r="B57" s="6">
        <v>0.45</v>
      </c>
      <c r="C57" s="6">
        <v>0.393</v>
      </c>
      <c r="I57" s="22"/>
    </row>
    <row r="58" spans="1:9" ht="12.75">
      <c r="A58" s="2" t="s">
        <v>144</v>
      </c>
      <c r="B58" s="6">
        <v>1.33</v>
      </c>
      <c r="C58" s="6">
        <v>1.16</v>
      </c>
      <c r="I58" s="22"/>
    </row>
    <row r="59" spans="1:9" ht="12.75">
      <c r="A59" s="2" t="s">
        <v>145</v>
      </c>
      <c r="B59" s="6">
        <v>0.19</v>
      </c>
      <c r="C59" s="6">
        <v>0.164</v>
      </c>
      <c r="I59" s="22"/>
    </row>
    <row r="60" spans="1:9" ht="12.75">
      <c r="A60" s="2" t="s">
        <v>146</v>
      </c>
      <c r="B60" s="6">
        <v>1.29</v>
      </c>
      <c r="C60" s="6">
        <v>1.11</v>
      </c>
      <c r="I60" s="22">
        <v>1.117</v>
      </c>
    </row>
    <row r="61" spans="1:9" ht="12.75">
      <c r="A61" s="2" t="s">
        <v>147</v>
      </c>
      <c r="B61" s="6">
        <v>0.2</v>
      </c>
      <c r="C61" s="6">
        <v>0.164</v>
      </c>
      <c r="I61" s="22">
        <v>0.157</v>
      </c>
    </row>
    <row r="62" spans="1:9" ht="12.75">
      <c r="A62" s="2" t="s">
        <v>148</v>
      </c>
      <c r="B62" s="6">
        <v>1.33</v>
      </c>
      <c r="C62" s="6">
        <v>0.83</v>
      </c>
      <c r="I62" s="22">
        <v>0.94</v>
      </c>
    </row>
    <row r="63" spans="1:9" ht="12.75">
      <c r="A63" s="2" t="s">
        <v>149</v>
      </c>
      <c r="B63" s="6">
        <v>0.24</v>
      </c>
      <c r="C63" s="6">
        <v>0.176</v>
      </c>
      <c r="I63" s="22">
        <v>0.135</v>
      </c>
    </row>
    <row r="64" spans="1:9" ht="12.75">
      <c r="A64" s="2" t="s">
        <v>150</v>
      </c>
      <c r="B64" s="6">
        <v>200</v>
      </c>
      <c r="I64" s="22"/>
    </row>
    <row r="65" spans="1:9" ht="12.75">
      <c r="A65" s="2" t="s">
        <v>151</v>
      </c>
      <c r="I65" s="22"/>
    </row>
    <row r="66" spans="1:9" ht="12.75">
      <c r="A66" s="2" t="s">
        <v>152</v>
      </c>
      <c r="I66" s="22"/>
    </row>
    <row r="67" spans="1:9" ht="12.75">
      <c r="A67" s="2" t="s">
        <v>153</v>
      </c>
      <c r="I67" s="22">
        <v>16.8</v>
      </c>
    </row>
    <row r="68" spans="1:9" ht="12.75">
      <c r="A68" s="2" t="s">
        <v>166</v>
      </c>
      <c r="I68" s="22"/>
    </row>
    <row r="69" spans="1:9" ht="12.75">
      <c r="A69" s="2" t="s">
        <v>154</v>
      </c>
      <c r="I69" s="22">
        <v>6.7</v>
      </c>
    </row>
    <row r="70" spans="1:9" ht="12.75">
      <c r="A70" s="2" t="s">
        <v>155</v>
      </c>
      <c r="C70" s="6">
        <v>0.37</v>
      </c>
      <c r="I70" s="22">
        <v>0.41</v>
      </c>
    </row>
    <row r="71" spans="1:9" ht="12.75">
      <c r="A71" s="2" t="s">
        <v>156</v>
      </c>
      <c r="C71" s="6">
        <v>0.107</v>
      </c>
      <c r="I71" s="22">
        <v>0.11</v>
      </c>
    </row>
    <row r="72" ht="12.75">
      <c r="A72" s="3" t="s">
        <v>42</v>
      </c>
    </row>
    <row r="73" ht="12.75">
      <c r="A73" s="3"/>
    </row>
    <row r="74" ht="12.75">
      <c r="A74" s="4" t="s">
        <v>69</v>
      </c>
    </row>
    <row r="75" spans="1:3" ht="12.75">
      <c r="A75" s="2" t="s">
        <v>174</v>
      </c>
      <c r="C75" s="6">
        <v>4</v>
      </c>
    </row>
    <row r="76" spans="1:3" ht="12.75">
      <c r="A76" s="2" t="s">
        <v>169</v>
      </c>
      <c r="B76" s="6">
        <v>0.5</v>
      </c>
      <c r="C76" s="6">
        <v>0.257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ht="12.75">
      <c r="A82" s="2" t="s">
        <v>175</v>
      </c>
    </row>
    <row r="83" ht="12.75">
      <c r="A83" s="2" t="s">
        <v>173</v>
      </c>
    </row>
    <row r="84" ht="12.75">
      <c r="A84" s="2"/>
    </row>
    <row r="85" spans="1:3" ht="12.75">
      <c r="A85" s="2" t="s">
        <v>179</v>
      </c>
      <c r="B85" s="6">
        <v>1.16</v>
      </c>
      <c r="C85" s="6">
        <v>0.835</v>
      </c>
    </row>
    <row r="86" ht="12.75">
      <c r="A86" s="2" t="s">
        <v>180</v>
      </c>
    </row>
    <row r="87" spans="1:3" ht="12.75">
      <c r="A87" s="2" t="s">
        <v>178</v>
      </c>
      <c r="C87" s="6">
        <v>0.051</v>
      </c>
    </row>
    <row r="88" ht="12.75">
      <c r="A88" s="2" t="s">
        <v>177</v>
      </c>
    </row>
    <row r="90" ht="12.75">
      <c r="A90" s="2" t="s">
        <v>41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D21" sqref="D21"/>
    </sheetView>
  </sheetViews>
  <sheetFormatPr defaultColWidth="9.140625" defaultRowHeight="12.75"/>
  <sheetData>
    <row r="1" ht="15">
      <c r="A1" s="16" t="s">
        <v>28</v>
      </c>
    </row>
    <row r="2" ht="12.75">
      <c r="A2" s="12"/>
    </row>
    <row r="3" ht="12.75">
      <c r="A3" s="30" t="s">
        <v>103</v>
      </c>
    </row>
    <row r="4" ht="12.75">
      <c r="A4" s="30" t="s">
        <v>104</v>
      </c>
    </row>
    <row r="5" ht="12.75">
      <c r="A5" s="30" t="s">
        <v>243</v>
      </c>
    </row>
    <row r="6" ht="12.75">
      <c r="A6" s="12"/>
    </row>
    <row r="7" ht="15">
      <c r="A7" s="12" t="s">
        <v>244</v>
      </c>
    </row>
    <row r="8" ht="15">
      <c r="A8" s="12" t="s">
        <v>245</v>
      </c>
    </row>
    <row r="9" ht="15">
      <c r="A9" s="12" t="s">
        <v>56</v>
      </c>
    </row>
    <row r="10" ht="12.75">
      <c r="A10" s="12" t="s">
        <v>105</v>
      </c>
    </row>
    <row r="11" ht="12.75">
      <c r="A11" s="12" t="s">
        <v>106</v>
      </c>
    </row>
    <row r="12" ht="12.75">
      <c r="A12" s="12" t="s">
        <v>108</v>
      </c>
    </row>
    <row r="13" ht="12.75">
      <c r="A13" s="12" t="s">
        <v>107</v>
      </c>
    </row>
    <row r="14" ht="15">
      <c r="A14" s="12" t="s">
        <v>57</v>
      </c>
    </row>
    <row r="15" ht="15">
      <c r="A15" s="12" t="s">
        <v>58</v>
      </c>
    </row>
    <row r="16" ht="15">
      <c r="A16" s="12" t="s">
        <v>59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ht="12.75">
      <c r="A20" s="12" t="s">
        <v>163</v>
      </c>
    </row>
    <row r="21" ht="12.75">
      <c r="A21" s="12" t="s">
        <v>110</v>
      </c>
    </row>
    <row r="22" ht="12.75">
      <c r="A22" s="12" t="s">
        <v>111</v>
      </c>
    </row>
    <row r="23" ht="12.75">
      <c r="A23" s="12" t="s">
        <v>112</v>
      </c>
    </row>
    <row r="24" ht="12.75">
      <c r="A24" s="12" t="s">
        <v>113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ht="12.75">
      <c r="A47" s="12" t="s">
        <v>133</v>
      </c>
    </row>
    <row r="48" ht="12.75">
      <c r="A48" s="12" t="s">
        <v>134</v>
      </c>
    </row>
    <row r="49" ht="12.75">
      <c r="A49" s="12" t="s">
        <v>135</v>
      </c>
    </row>
    <row r="50" ht="12.75">
      <c r="A50" s="12" t="s">
        <v>136</v>
      </c>
    </row>
    <row r="51" ht="12.75">
      <c r="A51" s="12" t="s">
        <v>137</v>
      </c>
    </row>
    <row r="52" ht="12.75">
      <c r="A52" s="12" t="s">
        <v>138</v>
      </c>
    </row>
    <row r="53" ht="12.75">
      <c r="A53" s="12" t="s">
        <v>139</v>
      </c>
    </row>
    <row r="54" ht="12.75">
      <c r="A54" s="12" t="s">
        <v>140</v>
      </c>
    </row>
    <row r="55" ht="12.75">
      <c r="A55" s="12" t="s">
        <v>141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ht="12.75">
      <c r="A60" s="12" t="s">
        <v>146</v>
      </c>
    </row>
    <row r="61" ht="12.75">
      <c r="A61" s="12" t="s">
        <v>147</v>
      </c>
    </row>
    <row r="62" ht="12.75">
      <c r="A62" s="12" t="s">
        <v>148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ht="12.75">
      <c r="A67" s="12" t="s">
        <v>153</v>
      </c>
    </row>
    <row r="68" ht="12.75">
      <c r="A68" s="12" t="s">
        <v>166</v>
      </c>
    </row>
    <row r="69" ht="12.75">
      <c r="A69" s="12" t="s">
        <v>154</v>
      </c>
    </row>
    <row r="70" ht="12.75">
      <c r="A70" s="12" t="s">
        <v>155</v>
      </c>
    </row>
    <row r="71" ht="12.75">
      <c r="A71" s="12" t="s">
        <v>156</v>
      </c>
    </row>
    <row r="73" ht="12.75">
      <c r="A73" s="4" t="s">
        <v>29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pane ySplit="1584" topLeftCell="BM61" activePane="bottomLeft" state="split"/>
      <selection pane="topLeft" activeCell="A1" sqref="A1"/>
      <selection pane="bottomLeft" activeCell="A1" sqref="A1:D90"/>
    </sheetView>
  </sheetViews>
  <sheetFormatPr defaultColWidth="9.140625" defaultRowHeight="12.75"/>
  <cols>
    <col min="2" max="4" width="8.8515625" style="6" customWidth="1"/>
  </cols>
  <sheetData>
    <row r="1" ht="15">
      <c r="A1" s="16" t="s">
        <v>273</v>
      </c>
    </row>
    <row r="2" ht="12.75">
      <c r="A2" s="12"/>
    </row>
    <row r="3" spans="1:4" ht="12.75">
      <c r="A3" s="30" t="s">
        <v>103</v>
      </c>
      <c r="B3" s="6">
        <v>1</v>
      </c>
      <c r="C3" s="6">
        <v>1</v>
      </c>
      <c r="D3" s="6">
        <v>1</v>
      </c>
    </row>
    <row r="4" ht="12.75">
      <c r="A4" s="30" t="s">
        <v>104</v>
      </c>
    </row>
    <row r="5" spans="1:4" ht="12.75">
      <c r="A5" s="30" t="s">
        <v>243</v>
      </c>
      <c r="B5" s="6" t="s">
        <v>82</v>
      </c>
      <c r="C5" s="6" t="s">
        <v>312</v>
      </c>
      <c r="D5" s="6" t="s">
        <v>215</v>
      </c>
    </row>
    <row r="6" ht="12.75">
      <c r="A6" s="12"/>
    </row>
    <row r="7" spans="1:3" ht="15">
      <c r="A7" s="12" t="s">
        <v>244</v>
      </c>
      <c r="B7" s="6">
        <v>45.5</v>
      </c>
      <c r="C7" s="6">
        <v>44.2</v>
      </c>
    </row>
    <row r="8" spans="1:3" ht="15">
      <c r="A8" s="12" t="s">
        <v>245</v>
      </c>
      <c r="B8" s="6">
        <v>0.21</v>
      </c>
      <c r="C8" s="6">
        <v>0.21</v>
      </c>
    </row>
    <row r="9" spans="1:3" ht="15">
      <c r="A9" s="12" t="s">
        <v>56</v>
      </c>
      <c r="B9" s="6">
        <v>25.8</v>
      </c>
      <c r="C9" s="6">
        <v>26.2</v>
      </c>
    </row>
    <row r="10" spans="1:3" ht="12.75">
      <c r="A10" s="12" t="s">
        <v>105</v>
      </c>
      <c r="B10" s="6">
        <v>6</v>
      </c>
      <c r="C10" s="6">
        <v>5.67</v>
      </c>
    </row>
    <row r="11" spans="1:3" ht="12.75">
      <c r="A11" s="12" t="s">
        <v>106</v>
      </c>
      <c r="B11" s="6">
        <v>0.1</v>
      </c>
      <c r="C11" s="6">
        <v>0.08</v>
      </c>
    </row>
    <row r="12" spans="1:3" ht="12.75">
      <c r="A12" s="12" t="s">
        <v>108</v>
      </c>
      <c r="B12" s="6">
        <v>5.86</v>
      </c>
      <c r="C12" s="6">
        <v>4.43</v>
      </c>
    </row>
    <row r="13" spans="1:3" ht="12.75">
      <c r="A13" s="12" t="s">
        <v>107</v>
      </c>
      <c r="B13" s="6">
        <v>15.9</v>
      </c>
      <c r="C13" s="6">
        <v>15.3</v>
      </c>
    </row>
    <row r="14" spans="1:2" ht="15">
      <c r="A14" s="12" t="s">
        <v>57</v>
      </c>
      <c r="B14" s="6">
        <v>0.28</v>
      </c>
    </row>
    <row r="15" spans="1:2" ht="15">
      <c r="A15" s="12" t="s">
        <v>58</v>
      </c>
      <c r="B15" s="6">
        <v>0.03</v>
      </c>
    </row>
    <row r="16" spans="1:3" ht="15">
      <c r="A16" s="12" t="s">
        <v>59</v>
      </c>
      <c r="B16" s="6">
        <v>0.05</v>
      </c>
      <c r="C16" s="6">
        <v>0.03</v>
      </c>
    </row>
    <row r="17" ht="12.75">
      <c r="A17" s="12" t="s">
        <v>181</v>
      </c>
    </row>
    <row r="18" spans="1:2" ht="12.75">
      <c r="A18" s="12" t="s">
        <v>109</v>
      </c>
      <c r="B18" s="6">
        <v>100</v>
      </c>
    </row>
    <row r="19" ht="12.75">
      <c r="A19" s="12"/>
    </row>
    <row r="20" spans="1:4" ht="12.75">
      <c r="A20" s="12" t="s">
        <v>163</v>
      </c>
      <c r="D20" s="6">
        <v>14.6</v>
      </c>
    </row>
    <row r="21" spans="1:3" ht="12.75">
      <c r="A21" s="12" t="s">
        <v>110</v>
      </c>
      <c r="C21" s="6">
        <v>27</v>
      </c>
    </row>
    <row r="22" spans="1:3" ht="12.75">
      <c r="A22" s="12" t="s">
        <v>111</v>
      </c>
      <c r="B22" s="6">
        <v>650</v>
      </c>
      <c r="C22" s="6">
        <v>445</v>
      </c>
    </row>
    <row r="23" spans="1:4" ht="12.75">
      <c r="A23" s="12" t="s">
        <v>112</v>
      </c>
      <c r="D23" s="6">
        <v>14.5</v>
      </c>
    </row>
    <row r="24" spans="1:4" ht="12.75">
      <c r="A24" s="12" t="s">
        <v>113</v>
      </c>
      <c r="D24" s="6">
        <v>60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spans="1:4" ht="12.75">
      <c r="A47" s="12" t="s">
        <v>133</v>
      </c>
      <c r="D47" s="6">
        <v>86</v>
      </c>
    </row>
    <row r="48" spans="1:4" ht="12.75">
      <c r="A48" s="12" t="s">
        <v>134</v>
      </c>
      <c r="D48" s="6">
        <v>0.91</v>
      </c>
    </row>
    <row r="49" spans="1:4" ht="12.75">
      <c r="A49" s="12" t="s">
        <v>135</v>
      </c>
      <c r="D49" s="6">
        <v>2.5</v>
      </c>
    </row>
    <row r="50" ht="12.75">
      <c r="A50" s="12" t="s">
        <v>136</v>
      </c>
    </row>
    <row r="51" ht="12.75">
      <c r="A51" s="12" t="s">
        <v>137</v>
      </c>
    </row>
    <row r="52" spans="1:4" ht="12.75">
      <c r="A52" s="12" t="s">
        <v>138</v>
      </c>
      <c r="D52" s="6">
        <v>0.53</v>
      </c>
    </row>
    <row r="53" spans="1:4" ht="12.75">
      <c r="A53" s="12" t="s">
        <v>139</v>
      </c>
      <c r="D53" s="6">
        <v>0.64</v>
      </c>
    </row>
    <row r="54" ht="12.75">
      <c r="A54" s="12" t="s">
        <v>140</v>
      </c>
    </row>
    <row r="55" spans="1:4" ht="12.75">
      <c r="A55" s="12" t="s">
        <v>141</v>
      </c>
      <c r="D55" s="6">
        <v>0.13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spans="1:4" ht="12.75">
      <c r="A60" s="12" t="s">
        <v>146</v>
      </c>
      <c r="D60" s="6">
        <v>0.59</v>
      </c>
    </row>
    <row r="61" spans="1:4" ht="12.75">
      <c r="A61" s="12" t="s">
        <v>147</v>
      </c>
      <c r="D61" s="6">
        <v>0.086</v>
      </c>
    </row>
    <row r="62" spans="1:4" ht="12.75">
      <c r="A62" s="12" t="s">
        <v>148</v>
      </c>
      <c r="D62" s="6">
        <v>0.33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spans="1:4" ht="12.75">
      <c r="A67" s="12" t="s">
        <v>153</v>
      </c>
      <c r="D67" s="6">
        <v>2.3</v>
      </c>
    </row>
    <row r="68" ht="12.75">
      <c r="A68" s="12" t="s">
        <v>166</v>
      </c>
    </row>
    <row r="69" ht="12.75">
      <c r="A69" s="12" t="s">
        <v>154</v>
      </c>
    </row>
    <row r="70" spans="1:4" ht="12.75">
      <c r="A70" s="12" t="s">
        <v>155</v>
      </c>
      <c r="D70" s="6">
        <v>0.11</v>
      </c>
    </row>
    <row r="71" ht="12.75">
      <c r="A71" s="12" t="s">
        <v>156</v>
      </c>
    </row>
    <row r="72" spans="1:15" ht="12.75">
      <c r="A72" s="3" t="s">
        <v>305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ht="12.75">
      <c r="A74" s="4" t="s">
        <v>274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ht="12.75">
      <c r="A82" s="2" t="s">
        <v>175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 t="s">
        <v>272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pane ySplit="2148" topLeftCell="BM68" activePane="bottomLeft" state="split"/>
      <selection pane="topLeft" activeCell="B1" sqref="B1:H16384"/>
      <selection pane="bottomLeft" activeCell="C91" sqref="C91"/>
    </sheetView>
  </sheetViews>
  <sheetFormatPr defaultColWidth="9.140625" defaultRowHeight="12.75"/>
  <cols>
    <col min="1" max="1" width="11.140625" style="0" customWidth="1"/>
    <col min="2" max="8" width="8.8515625" style="6" customWidth="1"/>
  </cols>
  <sheetData>
    <row r="1" ht="13.5">
      <c r="A1" s="5" t="s">
        <v>211</v>
      </c>
    </row>
    <row r="2" spans="1:8" s="2" customFormat="1" ht="9.75">
      <c r="A2" s="1"/>
      <c r="B2" s="7"/>
      <c r="C2" s="7"/>
      <c r="D2" s="7"/>
      <c r="E2" s="7"/>
      <c r="F2" s="7"/>
      <c r="G2" s="7"/>
      <c r="H2" s="7"/>
    </row>
    <row r="3" spans="1:8" ht="12.75">
      <c r="A3" s="3" t="s">
        <v>103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6</v>
      </c>
    </row>
    <row r="4" spans="1:8" ht="12.75">
      <c r="A4" s="3" t="s">
        <v>255</v>
      </c>
      <c r="B4" s="6">
        <v>128</v>
      </c>
      <c r="C4" s="6">
        <v>139</v>
      </c>
      <c r="D4" s="6">
        <v>20.5</v>
      </c>
      <c r="E4" s="6">
        <v>77.71</v>
      </c>
      <c r="F4" s="6">
        <v>113</v>
      </c>
      <c r="G4" s="6">
        <v>56.6</v>
      </c>
      <c r="H4" s="6">
        <v>12.53</v>
      </c>
    </row>
    <row r="5" spans="1:8" ht="12.75">
      <c r="A5" s="3"/>
      <c r="E5" s="6" t="s">
        <v>212</v>
      </c>
      <c r="G5" s="6" t="s">
        <v>213</v>
      </c>
      <c r="H5" s="6" t="s">
        <v>214</v>
      </c>
    </row>
    <row r="6" spans="1:8" ht="12.75">
      <c r="A6" s="3" t="s">
        <v>251</v>
      </c>
      <c r="B6" s="6" t="s">
        <v>215</v>
      </c>
      <c r="C6" s="6" t="s">
        <v>216</v>
      </c>
      <c r="D6" s="6" t="s">
        <v>215</v>
      </c>
      <c r="E6" s="6" t="s">
        <v>215</v>
      </c>
      <c r="F6" s="6" t="s">
        <v>215</v>
      </c>
      <c r="G6" s="6" t="s">
        <v>215</v>
      </c>
      <c r="H6" s="6" t="s">
        <v>215</v>
      </c>
    </row>
    <row r="7" ht="12.75">
      <c r="A7" s="3"/>
    </row>
    <row r="8" spans="1:2" ht="12.75">
      <c r="A8" s="2" t="s">
        <v>162</v>
      </c>
      <c r="B8" s="6">
        <v>46.46</v>
      </c>
    </row>
    <row r="9" spans="1:6" ht="12.75">
      <c r="A9" s="2" t="s">
        <v>157</v>
      </c>
      <c r="B9" s="6">
        <v>0.23</v>
      </c>
      <c r="D9" s="6">
        <v>0.3</v>
      </c>
      <c r="E9" s="6">
        <v>0.23</v>
      </c>
      <c r="F9" s="6">
        <v>0.295</v>
      </c>
    </row>
    <row r="10" spans="1:6" ht="12.75">
      <c r="A10" s="2" t="s">
        <v>158</v>
      </c>
      <c r="B10" s="6">
        <v>25.31</v>
      </c>
      <c r="D10" s="6">
        <v>26.3</v>
      </c>
      <c r="E10" s="6">
        <v>25.1</v>
      </c>
      <c r="F10" s="6">
        <v>26.3</v>
      </c>
    </row>
    <row r="11" spans="1:8" ht="12.75">
      <c r="A11" s="2" t="s">
        <v>105</v>
      </c>
      <c r="B11" s="6">
        <v>5.4</v>
      </c>
      <c r="D11" s="6">
        <v>5.6</v>
      </c>
      <c r="E11" s="6">
        <v>5.53</v>
      </c>
      <c r="F11" s="6">
        <v>5.44</v>
      </c>
      <c r="G11" s="6">
        <v>5.57</v>
      </c>
      <c r="H11" s="6">
        <v>5.43</v>
      </c>
    </row>
    <row r="12" spans="1:8" ht="12.75">
      <c r="A12" s="2" t="s">
        <v>106</v>
      </c>
      <c r="B12" s="6">
        <v>0.076</v>
      </c>
      <c r="D12" s="6">
        <v>0.069</v>
      </c>
      <c r="E12" s="6">
        <v>0.08</v>
      </c>
      <c r="F12" s="6">
        <v>0.075</v>
      </c>
      <c r="G12" s="6">
        <v>0.073</v>
      </c>
      <c r="H12" s="6">
        <v>0.07</v>
      </c>
    </row>
    <row r="13" spans="1:6" ht="12.75">
      <c r="A13" s="2" t="s">
        <v>108</v>
      </c>
      <c r="B13" s="6">
        <v>7.93</v>
      </c>
      <c r="D13" s="6">
        <v>8</v>
      </c>
      <c r="E13" s="6">
        <v>8.8</v>
      </c>
      <c r="F13" s="6">
        <v>8.1</v>
      </c>
    </row>
    <row r="14" spans="1:8" ht="12.75">
      <c r="A14" s="2" t="s">
        <v>107</v>
      </c>
      <c r="D14" s="6">
        <v>15.2</v>
      </c>
      <c r="E14" s="6">
        <v>14.9</v>
      </c>
      <c r="F14" s="6">
        <v>14.8</v>
      </c>
      <c r="G14" s="6">
        <v>14.63</v>
      </c>
      <c r="H14" s="6">
        <v>14.44</v>
      </c>
    </row>
    <row r="15" spans="1:8" ht="12.75">
      <c r="A15" s="2" t="s">
        <v>159</v>
      </c>
      <c r="B15" s="6">
        <v>0.3</v>
      </c>
      <c r="D15" s="6">
        <v>0.31</v>
      </c>
      <c r="E15" s="6">
        <v>0.321</v>
      </c>
      <c r="F15" s="6">
        <v>0.3</v>
      </c>
      <c r="G15" s="6">
        <v>0.28</v>
      </c>
      <c r="H15" s="6">
        <v>0.3</v>
      </c>
    </row>
    <row r="16" spans="1:8" ht="12.75">
      <c r="A16" s="2" t="s">
        <v>160</v>
      </c>
      <c r="B16" s="6">
        <v>0.028</v>
      </c>
      <c r="D16" s="6">
        <v>0.025</v>
      </c>
      <c r="E16" s="6" t="s">
        <v>217</v>
      </c>
      <c r="F16" s="6">
        <v>0.02</v>
      </c>
      <c r="G16" s="6">
        <v>0.02</v>
      </c>
      <c r="H16" s="6">
        <v>0.024</v>
      </c>
    </row>
    <row r="17" spans="1:2" ht="12.75">
      <c r="A17" s="2" t="s">
        <v>161</v>
      </c>
      <c r="B17" s="6">
        <v>0.02</v>
      </c>
    </row>
    <row r="18" ht="12.75">
      <c r="A18" s="2" t="s">
        <v>181</v>
      </c>
    </row>
    <row r="19" ht="12.75">
      <c r="A19" s="3" t="s">
        <v>109</v>
      </c>
    </row>
    <row r="20" ht="12.75">
      <c r="A20" s="3"/>
    </row>
    <row r="21" spans="1:8" ht="12.75">
      <c r="A21" s="2" t="s">
        <v>163</v>
      </c>
      <c r="B21" s="6">
        <v>9.24</v>
      </c>
      <c r="D21" s="6">
        <v>9.5</v>
      </c>
      <c r="E21" s="6">
        <v>8.81</v>
      </c>
      <c r="F21" s="6">
        <v>9</v>
      </c>
      <c r="G21" s="6">
        <v>9.22</v>
      </c>
      <c r="H21" s="6">
        <v>8.27</v>
      </c>
    </row>
    <row r="22" spans="1:6" ht="12.75">
      <c r="A22" s="2" t="s">
        <v>110</v>
      </c>
      <c r="B22" s="6">
        <v>26</v>
      </c>
      <c r="D22" s="6">
        <v>25</v>
      </c>
      <c r="E22" s="6">
        <v>23</v>
      </c>
      <c r="F22" s="6">
        <v>24</v>
      </c>
    </row>
    <row r="23" spans="1:8" ht="12.75">
      <c r="A23" s="2" t="s">
        <v>111</v>
      </c>
      <c r="B23" s="6">
        <v>862</v>
      </c>
      <c r="C23" s="21"/>
      <c r="D23" s="6">
        <v>855</v>
      </c>
      <c r="E23" s="6">
        <v>900</v>
      </c>
      <c r="F23" s="6">
        <v>922</v>
      </c>
      <c r="G23" s="6">
        <v>901</v>
      </c>
      <c r="H23" s="6">
        <v>849</v>
      </c>
    </row>
    <row r="24" spans="1:8" ht="12.75">
      <c r="A24" s="2" t="s">
        <v>112</v>
      </c>
      <c r="B24" s="6">
        <v>20.2</v>
      </c>
      <c r="C24" s="6">
        <v>21.1</v>
      </c>
      <c r="D24" s="6">
        <v>20</v>
      </c>
      <c r="E24" s="6">
        <v>22.5</v>
      </c>
      <c r="F24" s="6">
        <v>21.7</v>
      </c>
      <c r="G24" s="6">
        <v>20.6</v>
      </c>
      <c r="H24" s="6">
        <v>20.6</v>
      </c>
    </row>
    <row r="25" spans="1:8" ht="12.75">
      <c r="A25" s="2" t="s">
        <v>113</v>
      </c>
      <c r="B25" s="6">
        <v>186</v>
      </c>
      <c r="D25" s="6">
        <v>190</v>
      </c>
      <c r="E25" s="6">
        <v>243</v>
      </c>
      <c r="F25" s="6">
        <v>182</v>
      </c>
      <c r="G25" s="6">
        <v>201</v>
      </c>
      <c r="H25" s="6">
        <v>222</v>
      </c>
    </row>
    <row r="26" ht="12.75">
      <c r="A26" s="2" t="s">
        <v>114</v>
      </c>
    </row>
    <row r="27" spans="1:8" ht="12.75">
      <c r="A27" s="2" t="s">
        <v>115</v>
      </c>
      <c r="B27" s="6">
        <v>18</v>
      </c>
      <c r="C27" s="6">
        <v>4.68</v>
      </c>
      <c r="F27" s="6">
        <v>5.4</v>
      </c>
      <c r="G27" s="6">
        <v>5.08</v>
      </c>
      <c r="H27" s="6">
        <v>5.05</v>
      </c>
    </row>
    <row r="28" spans="1:8" ht="12.75">
      <c r="A28" s="2" t="s">
        <v>116</v>
      </c>
      <c r="B28" s="6">
        <v>2.8</v>
      </c>
      <c r="C28" s="6">
        <v>2.53</v>
      </c>
      <c r="F28" s="6">
        <v>2.7</v>
      </c>
      <c r="G28" s="6">
        <v>2.9</v>
      </c>
      <c r="H28" s="6">
        <v>2.9</v>
      </c>
    </row>
    <row r="29" ht="12.75">
      <c r="A29" s="2" t="s">
        <v>117</v>
      </c>
    </row>
    <row r="30" spans="1:8" ht="12.75">
      <c r="A30" s="2" t="s">
        <v>118</v>
      </c>
      <c r="C30" s="6">
        <v>0.029</v>
      </c>
      <c r="G30" s="6" t="s">
        <v>206</v>
      </c>
      <c r="H30" s="6">
        <v>0.015</v>
      </c>
    </row>
    <row r="31" spans="1:8" ht="12.75">
      <c r="A31" s="2" t="s">
        <v>119</v>
      </c>
      <c r="B31" s="6" t="s">
        <v>218</v>
      </c>
      <c r="C31" s="6">
        <v>0.2</v>
      </c>
      <c r="G31" s="6">
        <v>0.27</v>
      </c>
      <c r="H31" s="6" t="s">
        <v>219</v>
      </c>
    </row>
    <row r="32" spans="1:8" ht="12.75">
      <c r="A32" s="2" t="s">
        <v>120</v>
      </c>
      <c r="B32" s="6" t="s">
        <v>220</v>
      </c>
      <c r="C32" s="6">
        <v>0.34</v>
      </c>
      <c r="E32" s="6" t="s">
        <v>221</v>
      </c>
      <c r="F32" s="6">
        <v>0.7</v>
      </c>
      <c r="G32" s="6">
        <v>0.39</v>
      </c>
      <c r="H32" s="6">
        <v>0.34</v>
      </c>
    </row>
    <row r="33" spans="1:8" ht="12.75">
      <c r="A33" s="2" t="s">
        <v>121</v>
      </c>
      <c r="B33" s="6">
        <v>128</v>
      </c>
      <c r="D33" s="6">
        <v>140</v>
      </c>
      <c r="E33" s="6">
        <v>141</v>
      </c>
      <c r="F33" s="6">
        <v>141</v>
      </c>
      <c r="G33" s="6">
        <v>129</v>
      </c>
      <c r="H33" s="6">
        <v>133</v>
      </c>
    </row>
    <row r="34" ht="12.75">
      <c r="A34" s="2" t="s">
        <v>122</v>
      </c>
    </row>
    <row r="35" spans="1:8" ht="12.75">
      <c r="A35" s="2" t="s">
        <v>123</v>
      </c>
      <c r="B35" s="6">
        <v>30</v>
      </c>
      <c r="D35" s="6">
        <v>30</v>
      </c>
      <c r="E35" s="6">
        <v>19</v>
      </c>
      <c r="F35" s="6">
        <v>25</v>
      </c>
      <c r="G35" s="6">
        <v>31</v>
      </c>
      <c r="H35" s="6">
        <v>29.8</v>
      </c>
    </row>
    <row r="36" ht="12.75">
      <c r="A36" s="2" t="s">
        <v>124</v>
      </c>
    </row>
    <row r="37" ht="12.75">
      <c r="A37" s="2" t="s">
        <v>125</v>
      </c>
    </row>
    <row r="38" ht="12.75">
      <c r="A38" s="2" t="s">
        <v>167</v>
      </c>
    </row>
    <row r="39" ht="12.75">
      <c r="A39" s="2" t="s">
        <v>168</v>
      </c>
    </row>
    <row r="40" ht="12.75">
      <c r="A40" s="2" t="s">
        <v>126</v>
      </c>
    </row>
    <row r="41" spans="1:3" ht="12.75">
      <c r="A41" s="2" t="s">
        <v>127</v>
      </c>
      <c r="C41" s="6">
        <v>2.4</v>
      </c>
    </row>
    <row r="42" spans="1:3" ht="12.75">
      <c r="A42" s="2" t="s">
        <v>128</v>
      </c>
      <c r="C42" s="6">
        <v>19</v>
      </c>
    </row>
    <row r="43" spans="1:3" ht="12.75">
      <c r="A43" s="2" t="s">
        <v>129</v>
      </c>
      <c r="C43" s="6">
        <v>1.5</v>
      </c>
    </row>
    <row r="44" ht="12.75">
      <c r="A44" s="2" t="s">
        <v>164</v>
      </c>
    </row>
    <row r="45" spans="1:8" ht="12.75">
      <c r="A45" s="2" t="s">
        <v>130</v>
      </c>
      <c r="B45" s="6" t="s">
        <v>203</v>
      </c>
      <c r="C45" s="6">
        <v>1.6</v>
      </c>
      <c r="G45" s="6" t="s">
        <v>222</v>
      </c>
      <c r="H45" s="6">
        <v>1.8</v>
      </c>
    </row>
    <row r="46" spans="1:3" ht="12.75">
      <c r="A46" s="2" t="s">
        <v>131</v>
      </c>
      <c r="C46" s="6">
        <v>9.2</v>
      </c>
    </row>
    <row r="47" spans="1:8" ht="12.75">
      <c r="A47" s="2" t="s">
        <v>132</v>
      </c>
      <c r="B47" s="6" t="s">
        <v>206</v>
      </c>
      <c r="C47" s="6">
        <v>0.019</v>
      </c>
      <c r="E47" s="6">
        <v>0.04</v>
      </c>
      <c r="F47" s="6">
        <v>0.025</v>
      </c>
      <c r="G47" s="6">
        <v>0.014</v>
      </c>
      <c r="H47" s="6">
        <v>0.018</v>
      </c>
    </row>
    <row r="48" spans="1:8" ht="12.75">
      <c r="A48" s="2" t="s">
        <v>133</v>
      </c>
      <c r="B48" s="6">
        <v>34</v>
      </c>
      <c r="D48" s="6">
        <v>30</v>
      </c>
      <c r="E48" s="6">
        <v>24</v>
      </c>
      <c r="F48" s="6">
        <v>22</v>
      </c>
      <c r="G48" s="6">
        <v>33</v>
      </c>
      <c r="H48" s="6">
        <v>33</v>
      </c>
    </row>
    <row r="49" spans="1:8" ht="12.75">
      <c r="A49" s="2" t="s">
        <v>134</v>
      </c>
      <c r="B49" s="6">
        <v>2.44</v>
      </c>
      <c r="D49" s="6">
        <v>2</v>
      </c>
      <c r="E49" s="6">
        <v>1.8</v>
      </c>
      <c r="F49" s="6">
        <v>1.71</v>
      </c>
      <c r="G49" s="6">
        <v>1.8</v>
      </c>
      <c r="H49" s="6">
        <v>1.839</v>
      </c>
    </row>
    <row r="50" spans="1:8" ht="12.75">
      <c r="A50" s="2" t="s">
        <v>135</v>
      </c>
      <c r="B50" s="6">
        <v>6.9</v>
      </c>
      <c r="D50" s="6">
        <v>5</v>
      </c>
      <c r="E50" s="6">
        <v>4.55</v>
      </c>
      <c r="F50" s="6">
        <v>4.1</v>
      </c>
      <c r="G50" s="6">
        <v>5.08</v>
      </c>
      <c r="H50" s="6">
        <v>5.22</v>
      </c>
    </row>
    <row r="51" ht="12.75">
      <c r="A51" s="2" t="s">
        <v>136</v>
      </c>
    </row>
    <row r="52" spans="1:8" ht="12.75">
      <c r="A52" s="2" t="s">
        <v>137</v>
      </c>
      <c r="B52" s="6">
        <v>3.9</v>
      </c>
      <c r="D52" s="6">
        <v>3.3</v>
      </c>
      <c r="E52" s="6">
        <v>2.75</v>
      </c>
      <c r="F52" s="6">
        <v>2.9</v>
      </c>
      <c r="G52" s="6">
        <v>2.88</v>
      </c>
      <c r="H52" s="6">
        <v>2.99</v>
      </c>
    </row>
    <row r="53" spans="1:8" ht="12.75">
      <c r="A53" s="2" t="s">
        <v>138</v>
      </c>
      <c r="B53" s="6">
        <v>1.18</v>
      </c>
      <c r="D53" s="6">
        <v>1</v>
      </c>
      <c r="E53" s="6">
        <v>0.855</v>
      </c>
      <c r="F53" s="6">
        <v>0.794</v>
      </c>
      <c r="G53" s="6">
        <v>0.848</v>
      </c>
      <c r="H53" s="6">
        <v>0.862</v>
      </c>
    </row>
    <row r="54" spans="1:8" ht="12.75">
      <c r="A54" s="2" t="s">
        <v>139</v>
      </c>
      <c r="B54" s="6">
        <v>0.704</v>
      </c>
      <c r="D54" s="6">
        <v>0.75</v>
      </c>
      <c r="E54" s="6">
        <v>0.686</v>
      </c>
      <c r="F54" s="6">
        <v>0.66</v>
      </c>
      <c r="G54" s="6">
        <v>0.689</v>
      </c>
      <c r="H54" s="6">
        <v>0.716</v>
      </c>
    </row>
    <row r="55" spans="1:6" ht="12.75">
      <c r="A55" s="2" t="s">
        <v>140</v>
      </c>
      <c r="B55" s="6">
        <v>1.4</v>
      </c>
      <c r="F55" s="6">
        <v>0.96</v>
      </c>
    </row>
    <row r="56" spans="1:8" ht="12.75">
      <c r="A56" s="2" t="s">
        <v>141</v>
      </c>
      <c r="B56" s="6">
        <v>0.27</v>
      </c>
      <c r="D56" s="6">
        <v>0.2</v>
      </c>
      <c r="E56" s="6">
        <v>0.21</v>
      </c>
      <c r="F56" s="6">
        <v>0.17</v>
      </c>
      <c r="G56" s="6">
        <v>0.198</v>
      </c>
      <c r="H56" s="6">
        <v>0.201</v>
      </c>
    </row>
    <row r="57" spans="1:8" ht="12.75">
      <c r="A57" s="2" t="s">
        <v>142</v>
      </c>
      <c r="B57" s="6">
        <v>1.7</v>
      </c>
      <c r="D57" s="6">
        <v>1.3</v>
      </c>
      <c r="F57" s="6">
        <v>1.15</v>
      </c>
      <c r="G57" s="6">
        <v>0.9</v>
      </c>
      <c r="H57" s="6">
        <v>1.24</v>
      </c>
    </row>
    <row r="58" spans="1:6" ht="12.75">
      <c r="A58" s="2" t="s">
        <v>143</v>
      </c>
      <c r="B58" s="6">
        <v>0.37</v>
      </c>
      <c r="F58" s="6">
        <v>0.25</v>
      </c>
    </row>
    <row r="59" spans="1:6" ht="12.75">
      <c r="A59" s="2" t="s">
        <v>144</v>
      </c>
      <c r="F59" s="6">
        <v>0.72</v>
      </c>
    </row>
    <row r="60" spans="1:8" ht="12.75">
      <c r="A60" s="2" t="s">
        <v>145</v>
      </c>
      <c r="B60" s="6">
        <v>0.18</v>
      </c>
      <c r="D60" s="6">
        <v>0.13</v>
      </c>
      <c r="F60" s="6">
        <v>0.11</v>
      </c>
      <c r="G60" s="6">
        <v>0.121</v>
      </c>
      <c r="H60" s="6">
        <v>0.12</v>
      </c>
    </row>
    <row r="61" spans="1:8" ht="12.75">
      <c r="A61" s="2" t="s">
        <v>146</v>
      </c>
      <c r="B61" s="6">
        <v>1.06</v>
      </c>
      <c r="D61" s="6">
        <v>0.86</v>
      </c>
      <c r="E61" s="6">
        <v>0.705</v>
      </c>
      <c r="F61" s="6">
        <v>0.69</v>
      </c>
      <c r="G61" s="6">
        <v>0.812</v>
      </c>
      <c r="H61" s="6">
        <v>0.827</v>
      </c>
    </row>
    <row r="62" spans="1:8" ht="12.75">
      <c r="A62" s="2" t="s">
        <v>147</v>
      </c>
      <c r="B62" s="6">
        <v>0.15</v>
      </c>
      <c r="D62" s="6">
        <v>0.13</v>
      </c>
      <c r="E62" s="6">
        <v>0.113</v>
      </c>
      <c r="F62" s="6">
        <v>0.106</v>
      </c>
      <c r="G62" s="6">
        <v>0.119</v>
      </c>
      <c r="H62" s="6">
        <v>0.118</v>
      </c>
    </row>
    <row r="63" spans="1:8" ht="12.75">
      <c r="A63" s="2" t="s">
        <v>148</v>
      </c>
      <c r="B63" s="6">
        <v>0.92</v>
      </c>
      <c r="D63" s="6">
        <v>0.7</v>
      </c>
      <c r="E63" s="6">
        <v>0.63</v>
      </c>
      <c r="F63" s="6">
        <v>0.61</v>
      </c>
      <c r="G63" s="6">
        <v>0.696</v>
      </c>
      <c r="H63" s="6">
        <v>0.695</v>
      </c>
    </row>
    <row r="64" spans="1:8" ht="12.75">
      <c r="A64" s="2" t="s">
        <v>149</v>
      </c>
      <c r="B64" s="6">
        <v>0.12</v>
      </c>
      <c r="D64" s="6">
        <v>0.1</v>
      </c>
      <c r="E64" s="6">
        <v>0.079</v>
      </c>
      <c r="F64" s="6">
        <v>0.07</v>
      </c>
      <c r="G64" s="6">
        <v>0.098</v>
      </c>
      <c r="H64" s="6">
        <v>0.095</v>
      </c>
    </row>
    <row r="65" spans="1:2" ht="12.75">
      <c r="A65" s="2" t="s">
        <v>150</v>
      </c>
      <c r="B65" s="6" t="s">
        <v>223</v>
      </c>
    </row>
    <row r="66" ht="12.75">
      <c r="A66" s="2" t="s">
        <v>151</v>
      </c>
    </row>
    <row r="67" ht="12.75">
      <c r="A67" s="2" t="s">
        <v>152</v>
      </c>
    </row>
    <row r="68" spans="1:8" ht="12.75">
      <c r="A68" s="2" t="s">
        <v>153</v>
      </c>
      <c r="B68" s="6">
        <v>7.3</v>
      </c>
      <c r="D68" s="6">
        <v>6.1</v>
      </c>
      <c r="E68" s="6">
        <v>7.6</v>
      </c>
      <c r="F68" s="6">
        <v>6</v>
      </c>
      <c r="G68" s="6">
        <v>6.4</v>
      </c>
      <c r="H68" s="6">
        <v>7.3</v>
      </c>
    </row>
    <row r="69" spans="1:2" ht="12.75">
      <c r="A69" s="2" t="s">
        <v>166</v>
      </c>
      <c r="B69" s="6" t="s">
        <v>165</v>
      </c>
    </row>
    <row r="70" spans="1:8" ht="12.75">
      <c r="A70" s="2" t="s">
        <v>154</v>
      </c>
      <c r="B70" s="6">
        <v>2.1</v>
      </c>
      <c r="C70" s="6">
        <v>2.82</v>
      </c>
      <c r="D70" s="6">
        <v>2.4</v>
      </c>
      <c r="F70" s="6">
        <v>1.9</v>
      </c>
      <c r="G70" s="6">
        <v>1.9</v>
      </c>
      <c r="H70" s="6">
        <v>2.3</v>
      </c>
    </row>
    <row r="71" spans="1:8" ht="12.75">
      <c r="A71" s="2" t="s">
        <v>155</v>
      </c>
      <c r="B71" s="6">
        <v>0.35</v>
      </c>
      <c r="D71" s="6">
        <v>0.32</v>
      </c>
      <c r="E71" s="6">
        <v>0.198</v>
      </c>
      <c r="F71" s="6">
        <v>0.26</v>
      </c>
      <c r="G71" s="6">
        <v>0.327</v>
      </c>
      <c r="H71" s="6">
        <v>0.336</v>
      </c>
    </row>
    <row r="72" spans="1:8" ht="12.75">
      <c r="A72" s="2" t="s">
        <v>156</v>
      </c>
      <c r="B72" s="6">
        <v>0.103</v>
      </c>
      <c r="C72" s="6">
        <v>0.11</v>
      </c>
      <c r="E72" s="6">
        <v>0.09</v>
      </c>
      <c r="F72" s="6">
        <v>0.063</v>
      </c>
      <c r="G72" s="6">
        <v>0.133</v>
      </c>
      <c r="H72" s="6">
        <v>0.117</v>
      </c>
    </row>
    <row r="73" ht="12.75">
      <c r="A73" s="3" t="s">
        <v>207</v>
      </c>
    </row>
    <row r="74" ht="12.75">
      <c r="A74" s="3"/>
    </row>
    <row r="75" ht="12.75">
      <c r="A75" s="4" t="s">
        <v>88</v>
      </c>
    </row>
    <row r="76" ht="12.75">
      <c r="A76" s="2" t="s">
        <v>174</v>
      </c>
    </row>
    <row r="77" ht="12.75">
      <c r="A77" s="2" t="s">
        <v>169</v>
      </c>
    </row>
    <row r="78" ht="12.75">
      <c r="A78" s="2" t="s">
        <v>170</v>
      </c>
    </row>
    <row r="79" ht="12.75">
      <c r="A79" s="2" t="s">
        <v>171</v>
      </c>
    </row>
    <row r="81" ht="12.75">
      <c r="A81" s="2" t="s">
        <v>176</v>
      </c>
    </row>
    <row r="82" ht="12.75">
      <c r="A82" s="2" t="s">
        <v>172</v>
      </c>
    </row>
    <row r="83" spans="1:6" ht="12.75">
      <c r="A83" s="2" t="s">
        <v>175</v>
      </c>
      <c r="E83" s="6">
        <v>0.33</v>
      </c>
      <c r="F83" s="6">
        <v>0.09</v>
      </c>
    </row>
    <row r="84" ht="12.75">
      <c r="A84" s="2" t="s">
        <v>173</v>
      </c>
    </row>
    <row r="85" ht="12.75">
      <c r="A85" s="2"/>
    </row>
    <row r="86" ht="12.75">
      <c r="A86" s="2" t="s">
        <v>179</v>
      </c>
    </row>
    <row r="87" ht="12.75">
      <c r="A87" s="2" t="s">
        <v>180</v>
      </c>
    </row>
    <row r="88" spans="1:3" ht="12.75">
      <c r="A88" s="2" t="s">
        <v>178</v>
      </c>
      <c r="C88" s="6">
        <v>2.27</v>
      </c>
    </row>
    <row r="89" spans="1:3" ht="12.75">
      <c r="A89" s="2" t="s">
        <v>177</v>
      </c>
      <c r="C89" s="6">
        <v>0.73</v>
      </c>
    </row>
    <row r="91" ht="12.75">
      <c r="A91" s="2" t="s">
        <v>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L27" sqref="L27"/>
    </sheetView>
  </sheetViews>
  <sheetFormatPr defaultColWidth="9.140625" defaultRowHeight="12.75"/>
  <sheetData>
    <row r="1" ht="15">
      <c r="A1" s="16" t="s">
        <v>26</v>
      </c>
    </row>
    <row r="2" ht="12.75">
      <c r="A2" s="12"/>
    </row>
    <row r="3" ht="12.75">
      <c r="A3" s="30" t="s">
        <v>103</v>
      </c>
    </row>
    <row r="4" ht="12.75">
      <c r="A4" s="30" t="s">
        <v>104</v>
      </c>
    </row>
    <row r="5" ht="12.75">
      <c r="A5" s="30" t="s">
        <v>243</v>
      </c>
    </row>
    <row r="6" ht="12.75">
      <c r="A6" s="12"/>
    </row>
    <row r="7" ht="15">
      <c r="A7" s="12" t="s">
        <v>244</v>
      </c>
    </row>
    <row r="8" ht="15">
      <c r="A8" s="12" t="s">
        <v>245</v>
      </c>
    </row>
    <row r="9" ht="15">
      <c r="A9" s="12" t="s">
        <v>56</v>
      </c>
    </row>
    <row r="10" ht="12.75">
      <c r="A10" s="12" t="s">
        <v>105</v>
      </c>
    </row>
    <row r="11" ht="12.75">
      <c r="A11" s="12" t="s">
        <v>106</v>
      </c>
    </row>
    <row r="12" ht="12.75">
      <c r="A12" s="12" t="s">
        <v>108</v>
      </c>
    </row>
    <row r="13" ht="12.75">
      <c r="A13" s="12" t="s">
        <v>107</v>
      </c>
    </row>
    <row r="14" ht="15">
      <c r="A14" s="12" t="s">
        <v>57</v>
      </c>
    </row>
    <row r="15" ht="15">
      <c r="A15" s="12" t="s">
        <v>58</v>
      </c>
    </row>
    <row r="16" ht="15">
      <c r="A16" s="12" t="s">
        <v>59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ht="12.75">
      <c r="A20" s="12" t="s">
        <v>163</v>
      </c>
    </row>
    <row r="21" ht="12.75">
      <c r="A21" s="12" t="s">
        <v>110</v>
      </c>
    </row>
    <row r="22" ht="12.75">
      <c r="A22" s="12" t="s">
        <v>111</v>
      </c>
    </row>
    <row r="23" ht="12.75">
      <c r="A23" s="12" t="s">
        <v>112</v>
      </c>
    </row>
    <row r="24" ht="12.75">
      <c r="A24" s="12" t="s">
        <v>113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ht="12.75">
      <c r="A47" s="12" t="s">
        <v>133</v>
      </c>
    </row>
    <row r="48" ht="12.75">
      <c r="A48" s="12" t="s">
        <v>134</v>
      </c>
    </row>
    <row r="49" ht="12.75">
      <c r="A49" s="12" t="s">
        <v>135</v>
      </c>
    </row>
    <row r="50" ht="12.75">
      <c r="A50" s="12" t="s">
        <v>136</v>
      </c>
    </row>
    <row r="51" ht="12.75">
      <c r="A51" s="12" t="s">
        <v>137</v>
      </c>
    </row>
    <row r="52" ht="12.75">
      <c r="A52" s="12" t="s">
        <v>138</v>
      </c>
    </row>
    <row r="53" ht="12.75">
      <c r="A53" s="12" t="s">
        <v>139</v>
      </c>
    </row>
    <row r="54" ht="12.75">
      <c r="A54" s="12" t="s">
        <v>140</v>
      </c>
    </row>
    <row r="55" ht="12.75">
      <c r="A55" s="12" t="s">
        <v>141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ht="12.75">
      <c r="A60" s="12" t="s">
        <v>146</v>
      </c>
    </row>
    <row r="61" ht="12.75">
      <c r="A61" s="12" t="s">
        <v>147</v>
      </c>
    </row>
    <row r="62" ht="12.75">
      <c r="A62" s="12" t="s">
        <v>148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ht="12.75">
      <c r="A67" s="12" t="s">
        <v>153</v>
      </c>
    </row>
    <row r="68" ht="12.75">
      <c r="A68" s="12" t="s">
        <v>166</v>
      </c>
    </row>
    <row r="69" ht="12.75">
      <c r="A69" s="12" t="s">
        <v>154</v>
      </c>
    </row>
    <row r="70" ht="12.75">
      <c r="A70" s="12" t="s">
        <v>155</v>
      </c>
    </row>
    <row r="71" ht="12.75">
      <c r="A71" s="12" t="s">
        <v>156</v>
      </c>
    </row>
    <row r="73" ht="12.75">
      <c r="A73" s="4" t="s">
        <v>27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25" sqref="A25"/>
    </sheetView>
  </sheetViews>
  <sheetFormatPr defaultColWidth="9.140625" defaultRowHeight="12.75"/>
  <sheetData>
    <row r="1" ht="15">
      <c r="A1" s="16" t="s">
        <v>313</v>
      </c>
    </row>
    <row r="2" ht="12.75">
      <c r="A2" s="12"/>
    </row>
    <row r="3" ht="12.75">
      <c r="A3" s="30" t="s">
        <v>103</v>
      </c>
    </row>
    <row r="4" ht="12.75">
      <c r="A4" s="30" t="s">
        <v>104</v>
      </c>
    </row>
    <row r="5" ht="12.75">
      <c r="A5" s="30" t="s">
        <v>243</v>
      </c>
    </row>
    <row r="6" ht="12.75">
      <c r="A6" s="12"/>
    </row>
    <row r="7" ht="15">
      <c r="A7" s="12" t="s">
        <v>244</v>
      </c>
    </row>
    <row r="8" ht="15">
      <c r="A8" s="12" t="s">
        <v>245</v>
      </c>
    </row>
    <row r="9" ht="15">
      <c r="A9" s="12" t="s">
        <v>56</v>
      </c>
    </row>
    <row r="10" ht="12.75">
      <c r="A10" s="12" t="s">
        <v>105</v>
      </c>
    </row>
    <row r="11" ht="12.75">
      <c r="A11" s="12" t="s">
        <v>106</v>
      </c>
    </row>
    <row r="12" ht="12.75">
      <c r="A12" s="12" t="s">
        <v>108</v>
      </c>
    </row>
    <row r="13" ht="12.75">
      <c r="A13" s="12" t="s">
        <v>107</v>
      </c>
    </row>
    <row r="14" ht="15">
      <c r="A14" s="12" t="s">
        <v>57</v>
      </c>
    </row>
    <row r="15" ht="15">
      <c r="A15" s="12" t="s">
        <v>58</v>
      </c>
    </row>
    <row r="16" ht="15">
      <c r="A16" s="12" t="s">
        <v>59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ht="12.75">
      <c r="A20" s="12" t="s">
        <v>163</v>
      </c>
    </row>
    <row r="21" ht="12.75">
      <c r="A21" s="12" t="s">
        <v>110</v>
      </c>
    </row>
    <row r="22" ht="12.75">
      <c r="A22" s="12" t="s">
        <v>111</v>
      </c>
    </row>
    <row r="23" ht="12.75">
      <c r="A23" s="12" t="s">
        <v>112</v>
      </c>
    </row>
    <row r="24" ht="12.75">
      <c r="A24" s="12" t="s">
        <v>113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ht="12.75">
      <c r="A47" s="12" t="s">
        <v>133</v>
      </c>
    </row>
    <row r="48" ht="12.75">
      <c r="A48" s="12" t="s">
        <v>134</v>
      </c>
    </row>
    <row r="49" ht="12.75">
      <c r="A49" s="12" t="s">
        <v>135</v>
      </c>
    </row>
    <row r="50" ht="12.75">
      <c r="A50" s="12" t="s">
        <v>136</v>
      </c>
    </row>
    <row r="51" ht="12.75">
      <c r="A51" s="12" t="s">
        <v>137</v>
      </c>
    </row>
    <row r="52" ht="12.75">
      <c r="A52" s="12" t="s">
        <v>138</v>
      </c>
    </row>
    <row r="53" ht="12.75">
      <c r="A53" s="12" t="s">
        <v>139</v>
      </c>
    </row>
    <row r="54" ht="12.75">
      <c r="A54" s="12" t="s">
        <v>140</v>
      </c>
    </row>
    <row r="55" ht="12.75">
      <c r="A55" s="12" t="s">
        <v>141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ht="12.75">
      <c r="A60" s="12" t="s">
        <v>146</v>
      </c>
    </row>
    <row r="61" ht="12.75">
      <c r="A61" s="12" t="s">
        <v>147</v>
      </c>
    </row>
    <row r="62" ht="12.75">
      <c r="A62" s="12" t="s">
        <v>148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ht="12.75">
      <c r="A67" s="12" t="s">
        <v>153</v>
      </c>
    </row>
    <row r="68" ht="12.75">
      <c r="A68" s="12" t="s">
        <v>166</v>
      </c>
    </row>
    <row r="69" ht="12.75">
      <c r="A69" s="12" t="s">
        <v>154</v>
      </c>
    </row>
    <row r="70" ht="12.75">
      <c r="A70" s="12" t="s">
        <v>155</v>
      </c>
    </row>
    <row r="71" ht="12.75">
      <c r="A71" s="12" t="s">
        <v>156</v>
      </c>
    </row>
    <row r="72" ht="12.75">
      <c r="A72" s="3" t="s">
        <v>305</v>
      </c>
    </row>
    <row r="73" ht="12.75">
      <c r="A73" s="3"/>
    </row>
    <row r="74" ht="12.75">
      <c r="A74" s="4" t="s">
        <v>314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ht="12.75">
      <c r="A82" s="2" t="s">
        <v>175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 t="s">
        <v>315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1" sqref="A1"/>
    </sheetView>
  </sheetViews>
  <sheetFormatPr defaultColWidth="9.140625" defaultRowHeight="12.75"/>
  <sheetData>
    <row r="1" ht="15">
      <c r="A1" s="16" t="s">
        <v>24</v>
      </c>
    </row>
    <row r="2" ht="12.75">
      <c r="A2" s="12"/>
    </row>
    <row r="3" ht="12.75">
      <c r="A3" s="30" t="s">
        <v>103</v>
      </c>
    </row>
    <row r="4" ht="12.75">
      <c r="A4" s="30" t="s">
        <v>104</v>
      </c>
    </row>
    <row r="5" ht="12.75">
      <c r="A5" s="30" t="s">
        <v>243</v>
      </c>
    </row>
    <row r="6" ht="12.75">
      <c r="A6" s="12"/>
    </row>
    <row r="7" ht="15">
      <c r="A7" s="12" t="s">
        <v>244</v>
      </c>
    </row>
    <row r="8" ht="15">
      <c r="A8" s="12" t="s">
        <v>245</v>
      </c>
    </row>
    <row r="9" ht="15">
      <c r="A9" s="12" t="s">
        <v>56</v>
      </c>
    </row>
    <row r="10" ht="12.75">
      <c r="A10" s="12" t="s">
        <v>105</v>
      </c>
    </row>
    <row r="11" ht="12.75">
      <c r="A11" s="12" t="s">
        <v>106</v>
      </c>
    </row>
    <row r="12" ht="12.75">
      <c r="A12" s="12" t="s">
        <v>108</v>
      </c>
    </row>
    <row r="13" ht="12.75">
      <c r="A13" s="12" t="s">
        <v>107</v>
      </c>
    </row>
    <row r="14" ht="15">
      <c r="A14" s="12" t="s">
        <v>57</v>
      </c>
    </row>
    <row r="15" ht="15">
      <c r="A15" s="12" t="s">
        <v>58</v>
      </c>
    </row>
    <row r="16" ht="15">
      <c r="A16" s="12" t="s">
        <v>59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ht="12.75">
      <c r="A20" s="12" t="s">
        <v>163</v>
      </c>
    </row>
    <row r="21" ht="12.75">
      <c r="A21" s="12" t="s">
        <v>110</v>
      </c>
    </row>
    <row r="22" ht="12.75">
      <c r="A22" s="12" t="s">
        <v>111</v>
      </c>
    </row>
    <row r="23" ht="12.75">
      <c r="A23" s="12" t="s">
        <v>112</v>
      </c>
    </row>
    <row r="24" ht="12.75">
      <c r="A24" s="12" t="s">
        <v>113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ht="12.75">
      <c r="A47" s="12" t="s">
        <v>133</v>
      </c>
    </row>
    <row r="48" ht="12.75">
      <c r="A48" s="12" t="s">
        <v>134</v>
      </c>
    </row>
    <row r="49" ht="12.75">
      <c r="A49" s="12" t="s">
        <v>135</v>
      </c>
    </row>
    <row r="50" ht="12.75">
      <c r="A50" s="12" t="s">
        <v>136</v>
      </c>
    </row>
    <row r="51" ht="12.75">
      <c r="A51" s="12" t="s">
        <v>137</v>
      </c>
    </row>
    <row r="52" ht="12.75">
      <c r="A52" s="12" t="s">
        <v>138</v>
      </c>
    </row>
    <row r="53" ht="12.75">
      <c r="A53" s="12" t="s">
        <v>139</v>
      </c>
    </row>
    <row r="54" ht="12.75">
      <c r="A54" s="12" t="s">
        <v>140</v>
      </c>
    </row>
    <row r="55" ht="12.75">
      <c r="A55" s="12" t="s">
        <v>141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ht="12.75">
      <c r="A60" s="12" t="s">
        <v>146</v>
      </c>
    </row>
    <row r="61" ht="12.75">
      <c r="A61" s="12" t="s">
        <v>147</v>
      </c>
    </row>
    <row r="62" ht="12.75">
      <c r="A62" s="12" t="s">
        <v>148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ht="12.75">
      <c r="A67" s="12" t="s">
        <v>153</v>
      </c>
    </row>
    <row r="68" ht="12.75">
      <c r="A68" s="12" t="s">
        <v>166</v>
      </c>
    </row>
    <row r="69" ht="12.75">
      <c r="A69" s="12" t="s">
        <v>154</v>
      </c>
    </row>
    <row r="70" ht="12.75">
      <c r="A70" s="12" t="s">
        <v>155</v>
      </c>
    </row>
    <row r="71" ht="12.75">
      <c r="A71" s="12" t="s">
        <v>156</v>
      </c>
    </row>
    <row r="73" ht="12.75">
      <c r="A73" s="4" t="s">
        <v>25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1" sqref="A1"/>
    </sheetView>
  </sheetViews>
  <sheetFormatPr defaultColWidth="9.140625" defaultRowHeight="12.75"/>
  <sheetData>
    <row r="1" ht="15">
      <c r="A1" s="16" t="s">
        <v>316</v>
      </c>
    </row>
    <row r="2" ht="12.75">
      <c r="A2" s="12"/>
    </row>
    <row r="3" ht="12.75">
      <c r="A3" s="30" t="s">
        <v>103</v>
      </c>
    </row>
    <row r="4" ht="12.75">
      <c r="A4" s="30" t="s">
        <v>104</v>
      </c>
    </row>
    <row r="5" ht="12.75">
      <c r="A5" s="30" t="s">
        <v>243</v>
      </c>
    </row>
    <row r="6" ht="12.75">
      <c r="A6" s="12"/>
    </row>
    <row r="7" ht="15">
      <c r="A7" s="12" t="s">
        <v>244</v>
      </c>
    </row>
    <row r="8" ht="15">
      <c r="A8" s="12" t="s">
        <v>245</v>
      </c>
    </row>
    <row r="9" ht="15">
      <c r="A9" s="12" t="s">
        <v>56</v>
      </c>
    </row>
    <row r="10" ht="12.75">
      <c r="A10" s="12" t="s">
        <v>105</v>
      </c>
    </row>
    <row r="11" ht="12.75">
      <c r="A11" s="12" t="s">
        <v>106</v>
      </c>
    </row>
    <row r="12" ht="12.75">
      <c r="A12" s="12" t="s">
        <v>108</v>
      </c>
    </row>
    <row r="13" ht="12.75">
      <c r="A13" s="12" t="s">
        <v>107</v>
      </c>
    </row>
    <row r="14" ht="15">
      <c r="A14" s="12" t="s">
        <v>57</v>
      </c>
    </row>
    <row r="15" ht="15">
      <c r="A15" s="12" t="s">
        <v>58</v>
      </c>
    </row>
    <row r="16" ht="15">
      <c r="A16" s="12" t="s">
        <v>59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ht="12.75">
      <c r="A20" s="12" t="s">
        <v>163</v>
      </c>
    </row>
    <row r="21" ht="12.75">
      <c r="A21" s="12" t="s">
        <v>110</v>
      </c>
    </row>
    <row r="22" ht="12.75">
      <c r="A22" s="12" t="s">
        <v>111</v>
      </c>
    </row>
    <row r="23" ht="12.75">
      <c r="A23" s="12" t="s">
        <v>112</v>
      </c>
    </row>
    <row r="24" ht="12.75">
      <c r="A24" s="12" t="s">
        <v>113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ht="12.75">
      <c r="A47" s="12" t="s">
        <v>133</v>
      </c>
    </row>
    <row r="48" ht="12.75">
      <c r="A48" s="12" t="s">
        <v>134</v>
      </c>
    </row>
    <row r="49" ht="12.75">
      <c r="A49" s="12" t="s">
        <v>135</v>
      </c>
    </row>
    <row r="50" ht="12.75">
      <c r="A50" s="12" t="s">
        <v>136</v>
      </c>
    </row>
    <row r="51" ht="12.75">
      <c r="A51" s="12" t="s">
        <v>137</v>
      </c>
    </row>
    <row r="52" ht="12.75">
      <c r="A52" s="12" t="s">
        <v>138</v>
      </c>
    </row>
    <row r="53" ht="12.75">
      <c r="A53" s="12" t="s">
        <v>139</v>
      </c>
    </row>
    <row r="54" ht="12.75">
      <c r="A54" s="12" t="s">
        <v>140</v>
      </c>
    </row>
    <row r="55" ht="12.75">
      <c r="A55" s="12" t="s">
        <v>141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ht="12.75">
      <c r="A60" s="12" t="s">
        <v>146</v>
      </c>
    </row>
    <row r="61" ht="12.75">
      <c r="A61" s="12" t="s">
        <v>147</v>
      </c>
    </row>
    <row r="62" ht="12.75">
      <c r="A62" s="12" t="s">
        <v>148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ht="12.75">
      <c r="A67" s="12" t="s">
        <v>153</v>
      </c>
    </row>
    <row r="68" ht="12.75">
      <c r="A68" s="12" t="s">
        <v>166</v>
      </c>
    </row>
    <row r="69" ht="12.75">
      <c r="A69" s="12" t="s">
        <v>154</v>
      </c>
    </row>
    <row r="70" ht="12.75">
      <c r="A70" s="12" t="s">
        <v>155</v>
      </c>
    </row>
    <row r="71" ht="12.75">
      <c r="A71" s="12" t="s">
        <v>156</v>
      </c>
    </row>
    <row r="73" ht="12.75">
      <c r="A73" s="4" t="s">
        <v>317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8" sqref="A8"/>
    </sheetView>
  </sheetViews>
  <sheetFormatPr defaultColWidth="9.140625" defaultRowHeight="12.75"/>
  <sheetData>
    <row r="1" ht="15">
      <c r="A1" s="16" t="s">
        <v>318</v>
      </c>
    </row>
    <row r="2" ht="12.75">
      <c r="A2" s="12"/>
    </row>
    <row r="3" ht="12.75">
      <c r="A3" s="30" t="s">
        <v>103</v>
      </c>
    </row>
    <row r="4" ht="12.75">
      <c r="A4" s="30" t="s">
        <v>104</v>
      </c>
    </row>
    <row r="5" ht="12.75">
      <c r="A5" s="30" t="s">
        <v>243</v>
      </c>
    </row>
    <row r="6" ht="12.75">
      <c r="A6" s="12"/>
    </row>
    <row r="7" ht="15">
      <c r="A7" s="12" t="s">
        <v>244</v>
      </c>
    </row>
    <row r="8" ht="15">
      <c r="A8" s="12" t="s">
        <v>245</v>
      </c>
    </row>
    <row r="9" ht="15">
      <c r="A9" s="12" t="s">
        <v>56</v>
      </c>
    </row>
    <row r="10" ht="12.75">
      <c r="A10" s="12" t="s">
        <v>105</v>
      </c>
    </row>
    <row r="11" ht="12.75">
      <c r="A11" s="12" t="s">
        <v>106</v>
      </c>
    </row>
    <row r="12" ht="12.75">
      <c r="A12" s="12" t="s">
        <v>108</v>
      </c>
    </row>
    <row r="13" ht="12.75">
      <c r="A13" s="12" t="s">
        <v>107</v>
      </c>
    </row>
    <row r="14" ht="15">
      <c r="A14" s="12" t="s">
        <v>57</v>
      </c>
    </row>
    <row r="15" ht="15">
      <c r="A15" s="12" t="s">
        <v>58</v>
      </c>
    </row>
    <row r="16" ht="15">
      <c r="A16" s="12" t="s">
        <v>59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ht="12.75">
      <c r="A20" s="12" t="s">
        <v>163</v>
      </c>
    </row>
    <row r="21" ht="12.75">
      <c r="A21" s="12" t="s">
        <v>110</v>
      </c>
    </row>
    <row r="22" ht="12.75">
      <c r="A22" s="12" t="s">
        <v>111</v>
      </c>
    </row>
    <row r="23" ht="12.75">
      <c r="A23" s="12" t="s">
        <v>112</v>
      </c>
    </row>
    <row r="24" ht="12.75">
      <c r="A24" s="12" t="s">
        <v>113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ht="12.75">
      <c r="A47" s="12" t="s">
        <v>133</v>
      </c>
    </row>
    <row r="48" ht="12.75">
      <c r="A48" s="12" t="s">
        <v>134</v>
      </c>
    </row>
    <row r="49" ht="12.75">
      <c r="A49" s="12" t="s">
        <v>135</v>
      </c>
    </row>
    <row r="50" ht="12.75">
      <c r="A50" s="12" t="s">
        <v>136</v>
      </c>
    </row>
    <row r="51" ht="12.75">
      <c r="A51" s="12" t="s">
        <v>137</v>
      </c>
    </row>
    <row r="52" ht="12.75">
      <c r="A52" s="12" t="s">
        <v>138</v>
      </c>
    </row>
    <row r="53" ht="12.75">
      <c r="A53" s="12" t="s">
        <v>139</v>
      </c>
    </row>
    <row r="54" ht="12.75">
      <c r="A54" s="12" t="s">
        <v>140</v>
      </c>
    </row>
    <row r="55" ht="12.75">
      <c r="A55" s="12" t="s">
        <v>141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ht="12.75">
      <c r="A60" s="12" t="s">
        <v>146</v>
      </c>
    </row>
    <row r="61" ht="12.75">
      <c r="A61" s="12" t="s">
        <v>147</v>
      </c>
    </row>
    <row r="62" ht="12.75">
      <c r="A62" s="12" t="s">
        <v>148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ht="12.75">
      <c r="A67" s="12" t="s">
        <v>153</v>
      </c>
    </row>
    <row r="68" ht="12.75">
      <c r="A68" s="12" t="s">
        <v>166</v>
      </c>
    </row>
    <row r="69" ht="12.75">
      <c r="A69" s="12" t="s">
        <v>154</v>
      </c>
    </row>
    <row r="70" ht="12.75">
      <c r="A70" s="12" t="s">
        <v>155</v>
      </c>
    </row>
    <row r="71" ht="12.75">
      <c r="A71" s="12" t="s">
        <v>156</v>
      </c>
    </row>
    <row r="73" ht="12.75">
      <c r="A73" s="4" t="s">
        <v>319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8" sqref="A8"/>
    </sheetView>
  </sheetViews>
  <sheetFormatPr defaultColWidth="9.140625" defaultRowHeight="12.75"/>
  <sheetData>
    <row r="1" ht="15">
      <c r="A1" s="16" t="s">
        <v>320</v>
      </c>
    </row>
    <row r="2" ht="12.75">
      <c r="A2" s="12"/>
    </row>
    <row r="3" ht="12.75">
      <c r="A3" s="30" t="s">
        <v>103</v>
      </c>
    </row>
    <row r="4" ht="12.75">
      <c r="A4" s="30" t="s">
        <v>104</v>
      </c>
    </row>
    <row r="5" ht="12.75">
      <c r="A5" s="30" t="s">
        <v>243</v>
      </c>
    </row>
    <row r="6" ht="12.75">
      <c r="A6" s="12"/>
    </row>
    <row r="7" ht="15">
      <c r="A7" s="12" t="s">
        <v>244</v>
      </c>
    </row>
    <row r="8" ht="15">
      <c r="A8" s="12" t="s">
        <v>245</v>
      </c>
    </row>
    <row r="9" ht="15">
      <c r="A9" s="12" t="s">
        <v>56</v>
      </c>
    </row>
    <row r="10" ht="12.75">
      <c r="A10" s="12" t="s">
        <v>105</v>
      </c>
    </row>
    <row r="11" ht="12.75">
      <c r="A11" s="12" t="s">
        <v>106</v>
      </c>
    </row>
    <row r="12" ht="12.75">
      <c r="A12" s="12" t="s">
        <v>108</v>
      </c>
    </row>
    <row r="13" ht="12.75">
      <c r="A13" s="12" t="s">
        <v>107</v>
      </c>
    </row>
    <row r="14" ht="15">
      <c r="A14" s="12" t="s">
        <v>57</v>
      </c>
    </row>
    <row r="15" ht="15">
      <c r="A15" s="12" t="s">
        <v>58</v>
      </c>
    </row>
    <row r="16" ht="15">
      <c r="A16" s="12" t="s">
        <v>59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ht="12.75">
      <c r="A20" s="12" t="s">
        <v>163</v>
      </c>
    </row>
    <row r="21" ht="12.75">
      <c r="A21" s="12" t="s">
        <v>110</v>
      </c>
    </row>
    <row r="22" ht="12.75">
      <c r="A22" s="12" t="s">
        <v>111</v>
      </c>
    </row>
    <row r="23" ht="12.75">
      <c r="A23" s="12" t="s">
        <v>112</v>
      </c>
    </row>
    <row r="24" ht="12.75">
      <c r="A24" s="12" t="s">
        <v>113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ht="12.75">
      <c r="A32" s="12" t="s">
        <v>121</v>
      </c>
    </row>
    <row r="33" ht="12.75">
      <c r="A33" s="12" t="s">
        <v>122</v>
      </c>
    </row>
    <row r="34" ht="12.75">
      <c r="A34" s="12" t="s">
        <v>123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ht="12.75">
      <c r="A47" s="12" t="s">
        <v>133</v>
      </c>
    </row>
    <row r="48" ht="12.75">
      <c r="A48" s="12" t="s">
        <v>134</v>
      </c>
    </row>
    <row r="49" ht="12.75">
      <c r="A49" s="12" t="s">
        <v>135</v>
      </c>
    </row>
    <row r="50" ht="12.75">
      <c r="A50" s="12" t="s">
        <v>136</v>
      </c>
    </row>
    <row r="51" ht="12.75">
      <c r="A51" s="12" t="s">
        <v>137</v>
      </c>
    </row>
    <row r="52" ht="12.75">
      <c r="A52" s="12" t="s">
        <v>138</v>
      </c>
    </row>
    <row r="53" ht="12.75">
      <c r="A53" s="12" t="s">
        <v>139</v>
      </c>
    </row>
    <row r="54" ht="12.75">
      <c r="A54" s="12" t="s">
        <v>140</v>
      </c>
    </row>
    <row r="55" ht="12.75">
      <c r="A55" s="12" t="s">
        <v>141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ht="12.75">
      <c r="A60" s="12" t="s">
        <v>146</v>
      </c>
    </row>
    <row r="61" ht="12.75">
      <c r="A61" s="12" t="s">
        <v>147</v>
      </c>
    </row>
    <row r="62" ht="12.75">
      <c r="A62" s="12" t="s">
        <v>148</v>
      </c>
    </row>
    <row r="63" ht="12.75">
      <c r="A63" s="12" t="s">
        <v>149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ht="12.75">
      <c r="A67" s="12" t="s">
        <v>153</v>
      </c>
    </row>
    <row r="68" ht="12.75">
      <c r="A68" s="12" t="s">
        <v>166</v>
      </c>
    </row>
    <row r="69" ht="12.75">
      <c r="A69" s="12" t="s">
        <v>154</v>
      </c>
    </row>
    <row r="70" ht="12.75">
      <c r="A70" s="12" t="s">
        <v>155</v>
      </c>
    </row>
    <row r="71" ht="12.75">
      <c r="A71" s="12" t="s">
        <v>156</v>
      </c>
    </row>
    <row r="73" ht="12.75">
      <c r="A73" s="4" t="s">
        <v>321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A90" sqref="A1:C90"/>
    </sheetView>
  </sheetViews>
  <sheetFormatPr defaultColWidth="9.140625" defaultRowHeight="12.75"/>
  <cols>
    <col min="2" max="3" width="8.8515625" style="6" customWidth="1"/>
  </cols>
  <sheetData>
    <row r="1" spans="1:14" ht="13.5">
      <c r="A1" s="5" t="s">
        <v>285</v>
      </c>
      <c r="M1" s="6"/>
      <c r="N1" s="6"/>
    </row>
    <row r="2" spans="1:14" s="2" customFormat="1" ht="9.75">
      <c r="A2" s="1"/>
      <c r="B2" s="7"/>
      <c r="C2" s="7"/>
      <c r="M2" s="7"/>
      <c r="N2" s="7"/>
    </row>
    <row r="3" spans="1:16" ht="12.75">
      <c r="A3" s="3" t="s">
        <v>103</v>
      </c>
      <c r="B3" s="6">
        <v>1</v>
      </c>
      <c r="C3" s="6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3" t="s">
        <v>104</v>
      </c>
      <c r="B4" s="6" t="s">
        <v>284</v>
      </c>
      <c r="C4" s="6">
        <f>294+281</f>
        <v>575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3" t="s">
        <v>251</v>
      </c>
      <c r="B5" s="6" t="s">
        <v>82</v>
      </c>
      <c r="C5" s="6" t="s">
        <v>215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2" ht="12.75">
      <c r="A7" s="2" t="s">
        <v>162</v>
      </c>
      <c r="B7" s="6">
        <v>44.5</v>
      </c>
    </row>
    <row r="8" spans="1:2" ht="12.75">
      <c r="A8" s="2" t="s">
        <v>157</v>
      </c>
      <c r="B8" s="6">
        <v>0.75</v>
      </c>
    </row>
    <row r="9" spans="1:2" ht="12.75">
      <c r="A9" s="2" t="s">
        <v>158</v>
      </c>
      <c r="B9" s="6">
        <v>24.7</v>
      </c>
    </row>
    <row r="10" spans="1:2" ht="12.75">
      <c r="A10" s="2" t="s">
        <v>105</v>
      </c>
      <c r="B10" s="6">
        <v>5.94</v>
      </c>
    </row>
    <row r="11" spans="1:2" ht="12.75">
      <c r="A11" s="2" t="s">
        <v>106</v>
      </c>
      <c r="B11" s="6">
        <v>0.08</v>
      </c>
    </row>
    <row r="12" spans="1:2" ht="12.75">
      <c r="A12" s="2" t="s">
        <v>108</v>
      </c>
      <c r="B12" s="6">
        <v>8.6</v>
      </c>
    </row>
    <row r="13" spans="1:2" ht="12.75">
      <c r="A13" s="2" t="s">
        <v>107</v>
      </c>
      <c r="B13" s="6" t="s">
        <v>258</v>
      </c>
    </row>
    <row r="14" spans="1:2" ht="12.75">
      <c r="A14" s="2" t="s">
        <v>159</v>
      </c>
      <c r="B14" s="6">
        <v>0.51</v>
      </c>
    </row>
    <row r="15" spans="1:2" ht="12.75">
      <c r="A15" s="2" t="s">
        <v>160</v>
      </c>
      <c r="B15" s="6">
        <v>0.13</v>
      </c>
    </row>
    <row r="16" spans="1:2" ht="12.75">
      <c r="A16" s="2" t="s">
        <v>161</v>
      </c>
      <c r="B16" s="6">
        <v>0.15</v>
      </c>
    </row>
    <row r="17" ht="12.75">
      <c r="A17" s="2" t="s">
        <v>181</v>
      </c>
    </row>
    <row r="18" spans="1:2" ht="12.75">
      <c r="A18" s="3" t="s">
        <v>109</v>
      </c>
      <c r="B18" s="6">
        <v>100</v>
      </c>
    </row>
    <row r="19" ht="12.75">
      <c r="A19" s="3"/>
    </row>
    <row r="20" spans="1:3" ht="12.75">
      <c r="A20" s="2" t="s">
        <v>163</v>
      </c>
      <c r="C20" s="6">
        <v>8.96</v>
      </c>
    </row>
    <row r="21" ht="12.75">
      <c r="A21" s="2" t="s">
        <v>110</v>
      </c>
    </row>
    <row r="22" spans="1:3" ht="12.75">
      <c r="A22" s="2" t="s">
        <v>111</v>
      </c>
      <c r="C22" s="6">
        <v>774</v>
      </c>
    </row>
    <row r="23" spans="1:3" ht="12.75">
      <c r="A23" s="2" t="s">
        <v>112</v>
      </c>
      <c r="C23" s="6">
        <v>39.5</v>
      </c>
    </row>
    <row r="24" spans="1:3" ht="12.75">
      <c r="A24" s="2" t="s">
        <v>113</v>
      </c>
      <c r="C24" s="6">
        <v>572</v>
      </c>
    </row>
    <row r="25" ht="12.75">
      <c r="A25" s="2" t="s">
        <v>114</v>
      </c>
    </row>
    <row r="26" ht="12.75">
      <c r="A26" s="2" t="s">
        <v>115</v>
      </c>
    </row>
    <row r="27" ht="12.75">
      <c r="A27" s="2" t="s">
        <v>116</v>
      </c>
    </row>
    <row r="28" ht="12.75">
      <c r="A28" s="2" t="s">
        <v>117</v>
      </c>
    </row>
    <row r="29" spans="1:3" ht="12.75">
      <c r="A29" s="2" t="s">
        <v>118</v>
      </c>
      <c r="C29" s="6">
        <v>0.18</v>
      </c>
    </row>
    <row r="30" spans="1:3" ht="12.75">
      <c r="A30" s="2" t="s">
        <v>119</v>
      </c>
      <c r="C30" s="6" t="s">
        <v>271</v>
      </c>
    </row>
    <row r="31" spans="1:3" ht="12.75">
      <c r="A31" s="2" t="s">
        <v>120</v>
      </c>
      <c r="C31" s="6" t="s">
        <v>71</v>
      </c>
    </row>
    <row r="32" spans="1:3" ht="12.75">
      <c r="A32" s="2" t="s">
        <v>121</v>
      </c>
      <c r="C32" s="6">
        <v>198</v>
      </c>
    </row>
    <row r="33" ht="12.75">
      <c r="A33" s="2" t="s">
        <v>122</v>
      </c>
    </row>
    <row r="34" spans="1:3" ht="12.75">
      <c r="A34" s="2" t="s">
        <v>123</v>
      </c>
      <c r="C34" s="6">
        <v>187</v>
      </c>
    </row>
    <row r="35" ht="12.75">
      <c r="A35" s="2" t="s">
        <v>124</v>
      </c>
    </row>
    <row r="36" ht="12.75">
      <c r="A36" s="2" t="s">
        <v>125</v>
      </c>
    </row>
    <row r="37" ht="12.75">
      <c r="A37" s="2" t="s">
        <v>167</v>
      </c>
    </row>
    <row r="38" ht="12.75">
      <c r="A38" s="2" t="s">
        <v>168</v>
      </c>
    </row>
    <row r="39" ht="12.75">
      <c r="A39" s="2" t="s">
        <v>126</v>
      </c>
    </row>
    <row r="40" ht="12.75">
      <c r="A40" s="2" t="s">
        <v>127</v>
      </c>
    </row>
    <row r="41" ht="12.75">
      <c r="A41" s="2" t="s">
        <v>128</v>
      </c>
    </row>
    <row r="42" ht="12.75">
      <c r="A42" s="2" t="s">
        <v>129</v>
      </c>
    </row>
    <row r="43" ht="12.75">
      <c r="A43" s="2" t="s">
        <v>164</v>
      </c>
    </row>
    <row r="44" ht="12.75">
      <c r="A44" s="2" t="s">
        <v>130</v>
      </c>
    </row>
    <row r="45" ht="12.75">
      <c r="A45" s="2" t="s">
        <v>131</v>
      </c>
    </row>
    <row r="46" spans="1:3" ht="12.75">
      <c r="A46" s="2" t="s">
        <v>132</v>
      </c>
      <c r="C46" s="6">
        <v>0.13</v>
      </c>
    </row>
    <row r="47" spans="1:3" ht="12.75">
      <c r="A47" s="2" t="s">
        <v>133</v>
      </c>
      <c r="C47" s="6">
        <v>167</v>
      </c>
    </row>
    <row r="48" spans="1:3" ht="12.75">
      <c r="A48" s="2" t="s">
        <v>134</v>
      </c>
      <c r="C48" s="6">
        <v>13.4</v>
      </c>
    </row>
    <row r="49" spans="1:3" ht="12.75">
      <c r="A49" s="2" t="s">
        <v>135</v>
      </c>
      <c r="C49" s="6">
        <v>35.2</v>
      </c>
    </row>
    <row r="50" ht="12.75">
      <c r="A50" s="2" t="s">
        <v>136</v>
      </c>
    </row>
    <row r="51" spans="1:3" ht="12.75">
      <c r="A51" s="2" t="s">
        <v>137</v>
      </c>
      <c r="C51" s="6">
        <v>20.9</v>
      </c>
    </row>
    <row r="52" spans="1:3" ht="12.75">
      <c r="A52" s="2" t="s">
        <v>138</v>
      </c>
      <c r="C52" s="6">
        <v>6.22</v>
      </c>
    </row>
    <row r="53" spans="1:3" ht="12.75">
      <c r="A53" s="2" t="s">
        <v>139</v>
      </c>
      <c r="C53" s="6">
        <v>1.41</v>
      </c>
    </row>
    <row r="54" ht="12.75">
      <c r="A54" s="2" t="s">
        <v>140</v>
      </c>
    </row>
    <row r="55" spans="1:3" ht="12.75">
      <c r="A55" s="2" t="s">
        <v>141</v>
      </c>
      <c r="C55" s="6">
        <v>1.2</v>
      </c>
    </row>
    <row r="56" ht="12.75">
      <c r="A56" s="2" t="s">
        <v>142</v>
      </c>
    </row>
    <row r="57" ht="12.75">
      <c r="A57" s="2" t="s">
        <v>143</v>
      </c>
    </row>
    <row r="58" ht="12.75">
      <c r="A58" s="2" t="s">
        <v>144</v>
      </c>
    </row>
    <row r="59" ht="12.75">
      <c r="A59" s="2" t="s">
        <v>145</v>
      </c>
    </row>
    <row r="60" spans="1:3" ht="12.75">
      <c r="A60" s="2" t="s">
        <v>146</v>
      </c>
      <c r="C60" s="6">
        <v>4.03</v>
      </c>
    </row>
    <row r="61" spans="1:3" ht="12.75">
      <c r="A61" s="2" t="s">
        <v>147</v>
      </c>
      <c r="C61" s="6">
        <v>0.557</v>
      </c>
    </row>
    <row r="62" spans="1:3" ht="12.75">
      <c r="A62" s="2" t="s">
        <v>148</v>
      </c>
      <c r="C62" s="6">
        <v>4.79</v>
      </c>
    </row>
    <row r="63" spans="1:3" ht="12.75">
      <c r="A63" s="2" t="s">
        <v>149</v>
      </c>
      <c r="C63" s="6">
        <v>0.6</v>
      </c>
    </row>
    <row r="64" ht="12.75">
      <c r="A64" s="2" t="s">
        <v>150</v>
      </c>
    </row>
    <row r="65" ht="12.75">
      <c r="A65" s="2" t="s">
        <v>151</v>
      </c>
    </row>
    <row r="66" ht="12.75">
      <c r="A66" s="2" t="s">
        <v>152</v>
      </c>
    </row>
    <row r="67" spans="1:3" ht="12.75">
      <c r="A67" s="2" t="s">
        <v>153</v>
      </c>
      <c r="C67" s="6">
        <v>16.6</v>
      </c>
    </row>
    <row r="68" ht="12.75">
      <c r="A68" s="2" t="s">
        <v>166</v>
      </c>
    </row>
    <row r="69" spans="1:3" ht="12.75">
      <c r="A69" s="2" t="s">
        <v>154</v>
      </c>
      <c r="C69" s="6">
        <v>12</v>
      </c>
    </row>
    <row r="70" spans="1:3" ht="12.75">
      <c r="A70" s="2" t="s">
        <v>155</v>
      </c>
      <c r="C70" s="6">
        <v>1.95</v>
      </c>
    </row>
    <row r="71" spans="1:3" ht="12.75">
      <c r="A71" s="2" t="s">
        <v>156</v>
      </c>
      <c r="C71" s="6">
        <v>0.49</v>
      </c>
    </row>
    <row r="72" ht="12.75">
      <c r="A72" s="28" t="s">
        <v>254</v>
      </c>
    </row>
    <row r="73" ht="12.75">
      <c r="A73" s="3"/>
    </row>
    <row r="74" ht="12.75">
      <c r="A74" s="4" t="s">
        <v>286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spans="1:3" ht="12.75">
      <c r="A82" s="2" t="s">
        <v>175</v>
      </c>
      <c r="C82" s="6">
        <v>0.2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 t="s">
        <v>259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61">
      <selection activeCell="A1" sqref="A1:B90"/>
    </sheetView>
  </sheetViews>
  <sheetFormatPr defaultColWidth="9.140625" defaultRowHeight="12.75"/>
  <cols>
    <col min="2" max="2" width="8.8515625" style="6" customWidth="1"/>
  </cols>
  <sheetData>
    <row r="1" ht="13.5">
      <c r="A1" s="5" t="s">
        <v>260</v>
      </c>
    </row>
    <row r="2" ht="12.75">
      <c r="A2" s="1"/>
    </row>
    <row r="3" spans="1:2" ht="12.75">
      <c r="A3" s="3" t="s">
        <v>103</v>
      </c>
      <c r="B3" s="6">
        <v>1</v>
      </c>
    </row>
    <row r="4" spans="1:2" ht="12.75">
      <c r="A4" s="3" t="s">
        <v>104</v>
      </c>
      <c r="B4" s="6">
        <v>237</v>
      </c>
    </row>
    <row r="5" spans="1:2" ht="12.75">
      <c r="A5" s="3" t="s">
        <v>251</v>
      </c>
      <c r="B5" s="6" t="s">
        <v>215</v>
      </c>
    </row>
    <row r="7" ht="12.75">
      <c r="A7" s="2" t="s">
        <v>162</v>
      </c>
    </row>
    <row r="8" ht="12.75">
      <c r="A8" s="2" t="s">
        <v>157</v>
      </c>
    </row>
    <row r="9" ht="12.75">
      <c r="A9" s="2" t="s">
        <v>158</v>
      </c>
    </row>
    <row r="10" spans="1:2" ht="12.75">
      <c r="A10" s="2" t="s">
        <v>105</v>
      </c>
      <c r="B10" s="6">
        <v>7.86</v>
      </c>
    </row>
    <row r="11" ht="12.75">
      <c r="A11" s="2" t="s">
        <v>106</v>
      </c>
    </row>
    <row r="12" ht="12.75">
      <c r="A12" s="2" t="s">
        <v>108</v>
      </c>
    </row>
    <row r="13" spans="1:2" ht="12.75">
      <c r="A13" s="2" t="s">
        <v>107</v>
      </c>
      <c r="B13" s="6">
        <v>14</v>
      </c>
    </row>
    <row r="14" spans="1:2" ht="12.75">
      <c r="A14" s="2" t="s">
        <v>159</v>
      </c>
      <c r="B14" s="6">
        <v>0.318</v>
      </c>
    </row>
    <row r="15" spans="1:2" ht="12.75">
      <c r="A15" s="2" t="s">
        <v>160</v>
      </c>
      <c r="B15" s="6">
        <v>0.07</v>
      </c>
    </row>
    <row r="16" ht="12.75">
      <c r="A16" s="2" t="s">
        <v>161</v>
      </c>
    </row>
    <row r="17" ht="12.75">
      <c r="A17" s="2" t="s">
        <v>181</v>
      </c>
    </row>
    <row r="18" ht="12.75">
      <c r="A18" s="3" t="s">
        <v>109</v>
      </c>
    </row>
    <row r="19" ht="12.75">
      <c r="A19" s="3"/>
    </row>
    <row r="20" spans="1:2" ht="12.75">
      <c r="A20" s="2" t="s">
        <v>163</v>
      </c>
      <c r="B20" s="6">
        <v>16.5</v>
      </c>
    </row>
    <row r="21" ht="12.75">
      <c r="A21" s="2" t="s">
        <v>110</v>
      </c>
    </row>
    <row r="22" spans="1:2" ht="12.75">
      <c r="A22" s="2" t="s">
        <v>111</v>
      </c>
      <c r="B22" s="6">
        <v>1370</v>
      </c>
    </row>
    <row r="23" spans="1:2" ht="12.75">
      <c r="A23" s="2" t="s">
        <v>112</v>
      </c>
      <c r="B23" s="6">
        <v>48.4</v>
      </c>
    </row>
    <row r="24" spans="1:2" ht="12.75">
      <c r="A24" s="2" t="s">
        <v>113</v>
      </c>
      <c r="B24" s="6">
        <v>560</v>
      </c>
    </row>
    <row r="25" ht="12.75">
      <c r="A25" s="2" t="s">
        <v>114</v>
      </c>
    </row>
    <row r="26" ht="12.75">
      <c r="A26" s="2" t="s">
        <v>115</v>
      </c>
    </row>
    <row r="27" ht="12.75">
      <c r="A27" s="2" t="s">
        <v>116</v>
      </c>
    </row>
    <row r="28" ht="12.75">
      <c r="A28" s="2" t="s">
        <v>117</v>
      </c>
    </row>
    <row r="29" spans="1:2" ht="12.75">
      <c r="A29" s="2" t="s">
        <v>118</v>
      </c>
      <c r="B29" s="6">
        <v>0.65</v>
      </c>
    </row>
    <row r="30" spans="1:2" ht="12.75">
      <c r="A30" s="2" t="s">
        <v>119</v>
      </c>
      <c r="B30" s="6" t="s">
        <v>201</v>
      </c>
    </row>
    <row r="31" spans="1:2" ht="12.75">
      <c r="A31" s="2" t="s">
        <v>120</v>
      </c>
      <c r="B31" s="6" t="s">
        <v>3</v>
      </c>
    </row>
    <row r="32" spans="1:2" ht="12.75">
      <c r="A32" s="2" t="s">
        <v>121</v>
      </c>
      <c r="B32" s="6">
        <v>580</v>
      </c>
    </row>
    <row r="33" ht="12.75">
      <c r="A33" s="2" t="s">
        <v>122</v>
      </c>
    </row>
    <row r="34" spans="1:2" ht="12.75">
      <c r="A34" s="2" t="s">
        <v>123</v>
      </c>
      <c r="B34" s="6">
        <v>52</v>
      </c>
    </row>
    <row r="35" ht="12.75">
      <c r="A35" s="2" t="s">
        <v>124</v>
      </c>
    </row>
    <row r="36" ht="12.75">
      <c r="A36" s="2" t="s">
        <v>125</v>
      </c>
    </row>
    <row r="37" ht="12.75">
      <c r="A37" s="2" t="s">
        <v>167</v>
      </c>
    </row>
    <row r="38" ht="12.75">
      <c r="A38" s="2" t="s">
        <v>168</v>
      </c>
    </row>
    <row r="39" ht="12.75">
      <c r="A39" s="2" t="s">
        <v>126</v>
      </c>
    </row>
    <row r="40" ht="12.75">
      <c r="A40" s="2" t="s">
        <v>127</v>
      </c>
    </row>
    <row r="41" ht="12.75">
      <c r="A41" s="2" t="s">
        <v>128</v>
      </c>
    </row>
    <row r="42" ht="12.75">
      <c r="A42" s="2" t="s">
        <v>129</v>
      </c>
    </row>
    <row r="43" ht="12.75">
      <c r="A43" s="2" t="s">
        <v>164</v>
      </c>
    </row>
    <row r="44" ht="12.75">
      <c r="A44" s="2" t="s">
        <v>130</v>
      </c>
    </row>
    <row r="45" ht="12.75">
      <c r="A45" s="2" t="s">
        <v>131</v>
      </c>
    </row>
    <row r="46" spans="1:2" ht="12.75">
      <c r="A46" s="2" t="s">
        <v>132</v>
      </c>
      <c r="B46" s="6">
        <v>0.09</v>
      </c>
    </row>
    <row r="47" spans="1:2" ht="12.75">
      <c r="A47" s="2" t="s">
        <v>133</v>
      </c>
      <c r="B47" s="6">
        <v>344</v>
      </c>
    </row>
    <row r="48" spans="1:2" ht="12.75">
      <c r="A48" s="2" t="s">
        <v>134</v>
      </c>
      <c r="B48" s="6">
        <v>4.15</v>
      </c>
    </row>
    <row r="49" spans="1:2" ht="12.75">
      <c r="A49" s="2" t="s">
        <v>135</v>
      </c>
      <c r="B49" s="6">
        <v>10.8</v>
      </c>
    </row>
    <row r="50" ht="12.75">
      <c r="A50" s="2" t="s">
        <v>136</v>
      </c>
    </row>
    <row r="51" spans="1:2" ht="12.75">
      <c r="A51" s="2" t="s">
        <v>137</v>
      </c>
      <c r="B51" s="6">
        <v>6.2</v>
      </c>
    </row>
    <row r="52" spans="1:2" ht="12.75">
      <c r="A52" s="2" t="s">
        <v>138</v>
      </c>
      <c r="B52" s="6">
        <v>1.91</v>
      </c>
    </row>
    <row r="53" spans="1:2" ht="12.75">
      <c r="A53" s="2" t="s">
        <v>139</v>
      </c>
      <c r="B53" s="6">
        <v>0.702</v>
      </c>
    </row>
    <row r="54" ht="12.75">
      <c r="A54" s="2" t="s">
        <v>140</v>
      </c>
    </row>
    <row r="55" spans="1:2" ht="12.75">
      <c r="A55" s="2" t="s">
        <v>141</v>
      </c>
      <c r="B55" s="6">
        <v>0.418</v>
      </c>
    </row>
    <row r="56" ht="12.75">
      <c r="A56" s="2" t="s">
        <v>142</v>
      </c>
    </row>
    <row r="57" ht="12.75">
      <c r="A57" s="2" t="s">
        <v>143</v>
      </c>
    </row>
    <row r="58" ht="12.75">
      <c r="A58" s="2" t="s">
        <v>144</v>
      </c>
    </row>
    <row r="59" ht="12.75">
      <c r="A59" s="2" t="s">
        <v>145</v>
      </c>
    </row>
    <row r="60" spans="1:2" ht="12.75">
      <c r="A60" s="2" t="s">
        <v>146</v>
      </c>
      <c r="B60" s="6">
        <v>1.72</v>
      </c>
    </row>
    <row r="61" spans="1:2" ht="12.75">
      <c r="A61" s="2" t="s">
        <v>147</v>
      </c>
      <c r="B61" s="6">
        <v>0.247</v>
      </c>
    </row>
    <row r="62" spans="1:2" ht="12.75">
      <c r="A62" s="2" t="s">
        <v>148</v>
      </c>
      <c r="B62" s="6">
        <v>1.48</v>
      </c>
    </row>
    <row r="63" spans="1:2" ht="12.75">
      <c r="A63" s="2" t="s">
        <v>149</v>
      </c>
      <c r="B63" s="6">
        <v>0.22</v>
      </c>
    </row>
    <row r="64" ht="12.75">
      <c r="A64" s="2" t="s">
        <v>150</v>
      </c>
    </row>
    <row r="65" ht="12.75">
      <c r="A65" s="2" t="s">
        <v>151</v>
      </c>
    </row>
    <row r="66" ht="12.75">
      <c r="A66" s="2" t="s">
        <v>152</v>
      </c>
    </row>
    <row r="67" spans="1:2" ht="12.75">
      <c r="A67" s="2" t="s">
        <v>153</v>
      </c>
      <c r="B67" s="6">
        <v>18.5</v>
      </c>
    </row>
    <row r="68" ht="12.75">
      <c r="A68" s="2" t="s">
        <v>166</v>
      </c>
    </row>
    <row r="69" spans="1:2" ht="12.75">
      <c r="A69" s="2" t="s">
        <v>154</v>
      </c>
      <c r="B69" s="6">
        <v>9.8</v>
      </c>
    </row>
    <row r="70" spans="1:2" ht="12.75">
      <c r="A70" s="2" t="s">
        <v>155</v>
      </c>
      <c r="B70" s="6">
        <v>0.87</v>
      </c>
    </row>
    <row r="71" spans="1:2" ht="12.75">
      <c r="A71" s="2" t="s">
        <v>156</v>
      </c>
      <c r="B71" s="6">
        <v>0.39</v>
      </c>
    </row>
    <row r="72" spans="1:3" ht="12.75">
      <c r="A72" s="28" t="s">
        <v>254</v>
      </c>
      <c r="C72" s="6"/>
    </row>
    <row r="73" ht="12.75">
      <c r="A73" s="3"/>
    </row>
    <row r="74" ht="12.75">
      <c r="A74" s="4" t="s">
        <v>283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spans="1:2" ht="12.75">
      <c r="A82" s="2" t="s">
        <v>175</v>
      </c>
      <c r="B82" s="6">
        <v>0.38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 t="s">
        <v>259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A92" sqref="A1:G92"/>
    </sheetView>
  </sheetViews>
  <sheetFormatPr defaultColWidth="9.140625" defaultRowHeight="12.75"/>
  <cols>
    <col min="1" max="1" width="12.7109375" style="0" customWidth="1"/>
    <col min="2" max="7" width="8.8515625" style="6" customWidth="1"/>
  </cols>
  <sheetData>
    <row r="1" spans="1:7" ht="15">
      <c r="A1" s="32" t="s">
        <v>256</v>
      </c>
      <c r="B1" s="37"/>
      <c r="C1" s="37"/>
      <c r="D1" s="37"/>
      <c r="E1" s="37"/>
      <c r="F1" s="37"/>
      <c r="G1" s="37"/>
    </row>
    <row r="2" ht="12.75">
      <c r="A2" s="33"/>
    </row>
    <row r="3" spans="1:7" ht="12.75">
      <c r="A3" s="34" t="s">
        <v>103</v>
      </c>
      <c r="B3" s="6">
        <v>1</v>
      </c>
      <c r="C3" s="6">
        <v>1</v>
      </c>
      <c r="D3" s="6">
        <v>2</v>
      </c>
      <c r="E3" s="6">
        <v>2</v>
      </c>
      <c r="F3" s="6">
        <v>2</v>
      </c>
      <c r="G3" s="6">
        <v>2</v>
      </c>
    </row>
    <row r="4" spans="1:7" ht="12.75">
      <c r="A4" s="34" t="s">
        <v>104</v>
      </c>
      <c r="B4" s="6" t="s">
        <v>284</v>
      </c>
      <c r="C4" s="6">
        <v>321</v>
      </c>
      <c r="D4" s="6">
        <v>0.0301</v>
      </c>
      <c r="E4" s="6">
        <v>0.0301</v>
      </c>
      <c r="F4" s="6">
        <v>0.0605</v>
      </c>
      <c r="G4" s="6">
        <v>0.0563</v>
      </c>
    </row>
    <row r="5" spans="1:7" ht="12.75">
      <c r="A5" s="34" t="s">
        <v>251</v>
      </c>
      <c r="B5" s="6" t="s">
        <v>82</v>
      </c>
      <c r="C5" s="6" t="s">
        <v>215</v>
      </c>
      <c r="D5" s="6" t="s">
        <v>281</v>
      </c>
      <c r="E5" s="6" t="s">
        <v>78</v>
      </c>
      <c r="F5" s="6" t="s">
        <v>215</v>
      </c>
      <c r="G5" s="6" t="s">
        <v>37</v>
      </c>
    </row>
    <row r="6" ht="12.75">
      <c r="A6" s="35"/>
    </row>
    <row r="7" spans="1:2" ht="15">
      <c r="A7" s="35" t="s">
        <v>244</v>
      </c>
      <c r="B7" s="6">
        <v>45</v>
      </c>
    </row>
    <row r="8" spans="1:7" ht="15">
      <c r="A8" s="35" t="s">
        <v>245</v>
      </c>
      <c r="B8" s="6">
        <v>0.3</v>
      </c>
      <c r="D8" s="6">
        <v>1590</v>
      </c>
      <c r="E8" s="6">
        <v>1500</v>
      </c>
      <c r="F8" s="6">
        <v>1560</v>
      </c>
      <c r="G8" s="6">
        <v>1640</v>
      </c>
    </row>
    <row r="9" spans="1:7" ht="15">
      <c r="A9" s="35" t="s">
        <v>56</v>
      </c>
      <c r="B9" s="6">
        <v>23</v>
      </c>
      <c r="D9" s="6">
        <v>9.43</v>
      </c>
      <c r="F9" s="6">
        <v>12.2</v>
      </c>
      <c r="G9" s="6">
        <v>12.73</v>
      </c>
    </row>
    <row r="10" spans="1:7" ht="12.75">
      <c r="A10" s="35" t="s">
        <v>105</v>
      </c>
      <c r="B10" s="6">
        <v>7.82</v>
      </c>
      <c r="D10" s="6">
        <v>6.08</v>
      </c>
      <c r="E10" s="6">
        <v>6.5</v>
      </c>
      <c r="F10" s="6">
        <v>6.2</v>
      </c>
      <c r="G10" s="6">
        <v>6.6</v>
      </c>
    </row>
    <row r="11" spans="1:6" ht="12.75">
      <c r="A11" s="35" t="s">
        <v>106</v>
      </c>
      <c r="B11" s="6">
        <v>0.12</v>
      </c>
      <c r="D11" s="6">
        <v>865</v>
      </c>
      <c r="E11" s="6">
        <v>870</v>
      </c>
      <c r="F11" s="6">
        <v>910</v>
      </c>
    </row>
    <row r="12" spans="1:7" ht="12.75">
      <c r="A12" s="35" t="s">
        <v>108</v>
      </c>
      <c r="B12" s="6">
        <v>9</v>
      </c>
      <c r="D12" s="6">
        <v>5.06</v>
      </c>
      <c r="F12" s="6">
        <v>5.1</v>
      </c>
      <c r="G12" s="6">
        <v>6.51</v>
      </c>
    </row>
    <row r="13" spans="1:7" ht="12.75">
      <c r="A13" s="35" t="s">
        <v>107</v>
      </c>
      <c r="B13" s="6">
        <v>13.9</v>
      </c>
      <c r="D13" s="6">
        <v>9.28</v>
      </c>
      <c r="E13" s="6">
        <v>10.1</v>
      </c>
      <c r="F13" s="6">
        <v>8.8</v>
      </c>
      <c r="G13" s="6">
        <v>9.76</v>
      </c>
    </row>
    <row r="14" spans="1:7" ht="15">
      <c r="A14" s="35" t="s">
        <v>57</v>
      </c>
      <c r="B14" s="6">
        <v>0.31</v>
      </c>
      <c r="D14" s="6">
        <v>2170</v>
      </c>
      <c r="F14" s="6">
        <v>2510</v>
      </c>
      <c r="G14" s="6">
        <v>2610</v>
      </c>
    </row>
    <row r="15" spans="1:7" ht="15">
      <c r="A15" s="35" t="s">
        <v>58</v>
      </c>
      <c r="B15" s="6">
        <v>0.05</v>
      </c>
      <c r="D15" s="6">
        <v>507</v>
      </c>
      <c r="F15" s="6">
        <v>575</v>
      </c>
      <c r="G15" s="6" t="s">
        <v>191</v>
      </c>
    </row>
    <row r="16" spans="1:4" ht="15">
      <c r="A16" s="35" t="s">
        <v>59</v>
      </c>
      <c r="B16" s="6">
        <v>0.04</v>
      </c>
      <c r="D16" s="6">
        <v>147</v>
      </c>
    </row>
    <row r="17" spans="1:5" ht="12.75">
      <c r="A17" s="35" t="s">
        <v>181</v>
      </c>
      <c r="E17" s="6">
        <v>2000</v>
      </c>
    </row>
    <row r="18" spans="1:2" ht="12.75">
      <c r="A18" s="35" t="s">
        <v>109</v>
      </c>
      <c r="B18" s="6">
        <v>99.7</v>
      </c>
    </row>
    <row r="19" ht="12.75">
      <c r="A19" s="35"/>
    </row>
    <row r="20" spans="1:7" ht="12.75">
      <c r="A20" s="35" t="s">
        <v>163</v>
      </c>
      <c r="C20" s="6">
        <v>17.9</v>
      </c>
      <c r="D20" s="6">
        <v>14.9</v>
      </c>
      <c r="F20" s="6">
        <v>18.9</v>
      </c>
      <c r="G20" s="6">
        <v>22</v>
      </c>
    </row>
    <row r="21" spans="1:6" ht="12.75">
      <c r="A21" s="35" t="s">
        <v>110</v>
      </c>
      <c r="D21" s="6">
        <v>50.4</v>
      </c>
      <c r="E21" s="6">
        <v>46</v>
      </c>
      <c r="F21" s="6">
        <v>50</v>
      </c>
    </row>
    <row r="22" spans="1:6" ht="12.75">
      <c r="A22" s="35" t="s">
        <v>111</v>
      </c>
      <c r="C22" s="6">
        <v>1470</v>
      </c>
      <c r="D22" s="6">
        <v>1480</v>
      </c>
      <c r="E22" s="6">
        <v>1510</v>
      </c>
      <c r="F22" s="6">
        <v>1450</v>
      </c>
    </row>
    <row r="23" spans="1:7" ht="12.75">
      <c r="A23" s="35" t="s">
        <v>112</v>
      </c>
      <c r="C23" s="6">
        <v>34.5</v>
      </c>
      <c r="D23" s="6">
        <v>36.8</v>
      </c>
      <c r="F23" s="6">
        <v>38</v>
      </c>
      <c r="G23" s="6" t="s">
        <v>191</v>
      </c>
    </row>
    <row r="24" spans="1:7" ht="12.75">
      <c r="A24" s="35" t="s">
        <v>113</v>
      </c>
      <c r="C24" s="6">
        <v>440</v>
      </c>
      <c r="D24" s="6">
        <v>463</v>
      </c>
      <c r="E24" s="6">
        <v>470</v>
      </c>
      <c r="F24" s="6">
        <v>465</v>
      </c>
      <c r="G24" s="6">
        <v>500</v>
      </c>
    </row>
    <row r="25" spans="1:5" ht="12.75">
      <c r="A25" s="35" t="s">
        <v>114</v>
      </c>
      <c r="D25" s="6">
        <v>5.94</v>
      </c>
      <c r="E25" s="6">
        <v>6.9</v>
      </c>
    </row>
    <row r="26" spans="1:6" ht="12.75">
      <c r="A26" s="35" t="s">
        <v>115</v>
      </c>
      <c r="D26" s="6" t="s">
        <v>262</v>
      </c>
      <c r="E26" s="6">
        <v>2.2</v>
      </c>
      <c r="F26" s="6" t="s">
        <v>263</v>
      </c>
    </row>
    <row r="27" spans="1:6" ht="12.75">
      <c r="A27" s="35" t="s">
        <v>116</v>
      </c>
      <c r="D27" s="6">
        <v>2.58</v>
      </c>
      <c r="E27" s="6">
        <v>1.9</v>
      </c>
      <c r="F27" s="6" t="s">
        <v>261</v>
      </c>
    </row>
    <row r="28" ht="12.75">
      <c r="A28" s="35" t="s">
        <v>117</v>
      </c>
    </row>
    <row r="29" spans="1:6" ht="12.75">
      <c r="A29" s="35" t="s">
        <v>118</v>
      </c>
      <c r="C29" s="6">
        <v>0.46</v>
      </c>
      <c r="D29" s="6" t="s">
        <v>80</v>
      </c>
      <c r="E29" s="6" t="s">
        <v>264</v>
      </c>
      <c r="F29" s="6">
        <v>0.52</v>
      </c>
    </row>
    <row r="30" spans="1:3" ht="12.75">
      <c r="A30" s="35" t="s">
        <v>119</v>
      </c>
      <c r="C30" s="6">
        <v>0.48</v>
      </c>
    </row>
    <row r="31" spans="1:7" ht="12.75">
      <c r="A31" s="35" t="s">
        <v>120</v>
      </c>
      <c r="C31" s="6" t="s">
        <v>71</v>
      </c>
      <c r="D31" s="6">
        <v>0.91</v>
      </c>
      <c r="E31" s="6">
        <v>0.8</v>
      </c>
      <c r="F31" s="6" t="s">
        <v>265</v>
      </c>
      <c r="G31" s="6">
        <v>1.3</v>
      </c>
    </row>
    <row r="32" spans="1:7" ht="12.75">
      <c r="A32" s="35" t="s">
        <v>121</v>
      </c>
      <c r="C32" s="6">
        <v>730</v>
      </c>
      <c r="D32" s="6">
        <v>540</v>
      </c>
      <c r="E32" s="6">
        <v>540</v>
      </c>
      <c r="G32" s="6">
        <v>589</v>
      </c>
    </row>
    <row r="33" spans="1:7" ht="12.75">
      <c r="A33" s="35" t="s">
        <v>122</v>
      </c>
      <c r="E33" s="6">
        <v>18</v>
      </c>
      <c r="G33" s="6">
        <v>11</v>
      </c>
    </row>
    <row r="34" spans="1:7" ht="12.75">
      <c r="A34" s="35" t="s">
        <v>123</v>
      </c>
      <c r="C34" s="6">
        <v>31</v>
      </c>
      <c r="D34" s="6">
        <v>51.2</v>
      </c>
      <c r="F34" s="6">
        <v>50</v>
      </c>
      <c r="G34" s="6">
        <v>41</v>
      </c>
    </row>
    <row r="35" spans="1:5" ht="12.75">
      <c r="A35" s="35" t="s">
        <v>124</v>
      </c>
      <c r="D35" s="6">
        <v>1.91</v>
      </c>
      <c r="E35" s="6" t="s">
        <v>182</v>
      </c>
    </row>
    <row r="36" spans="1:6" ht="12.75">
      <c r="A36" s="35" t="s">
        <v>125</v>
      </c>
      <c r="D36" s="6">
        <v>0.76</v>
      </c>
      <c r="E36" s="6" t="s">
        <v>182</v>
      </c>
      <c r="F36" s="6">
        <v>0.65</v>
      </c>
    </row>
    <row r="37" ht="12.75">
      <c r="A37" s="35" t="s">
        <v>167</v>
      </c>
    </row>
    <row r="38" spans="1:4" ht="12.75">
      <c r="A38" s="35" t="s">
        <v>168</v>
      </c>
      <c r="D38" s="6">
        <v>0.019</v>
      </c>
    </row>
    <row r="39" spans="1:4" ht="12.75">
      <c r="A39" s="35" t="s">
        <v>126</v>
      </c>
      <c r="D39" s="6">
        <v>0.32</v>
      </c>
    </row>
    <row r="40" ht="12.75">
      <c r="A40" s="35" t="s">
        <v>127</v>
      </c>
    </row>
    <row r="41" ht="12.75">
      <c r="A41" s="35" t="s">
        <v>128</v>
      </c>
    </row>
    <row r="42" ht="12.75">
      <c r="A42" s="35" t="s">
        <v>129</v>
      </c>
    </row>
    <row r="43" spans="1:6" ht="12.75">
      <c r="A43" s="35" t="s">
        <v>164</v>
      </c>
      <c r="D43" s="6">
        <v>50</v>
      </c>
      <c r="E43" s="6" t="s">
        <v>266</v>
      </c>
      <c r="F43" s="6" t="s">
        <v>267</v>
      </c>
    </row>
    <row r="44" spans="1:6" ht="12.75">
      <c r="A44" s="35" t="s">
        <v>130</v>
      </c>
      <c r="F44" s="6">
        <v>26</v>
      </c>
    </row>
    <row r="45" ht="12.75">
      <c r="A45" s="35" t="s">
        <v>131</v>
      </c>
    </row>
    <row r="46" spans="1:7" ht="12.75">
      <c r="A46" s="35" t="s">
        <v>132</v>
      </c>
      <c r="C46" s="6" t="s">
        <v>192</v>
      </c>
      <c r="F46" s="6" t="s">
        <v>193</v>
      </c>
      <c r="G46" s="6">
        <v>0.063</v>
      </c>
    </row>
    <row r="47" spans="1:7" ht="12.75">
      <c r="A47" s="35" t="s">
        <v>133</v>
      </c>
      <c r="C47" s="6">
        <v>47</v>
      </c>
      <c r="D47" s="6">
        <v>57.4</v>
      </c>
      <c r="E47" s="6">
        <v>63</v>
      </c>
      <c r="F47" s="6">
        <v>54</v>
      </c>
      <c r="G47" s="6">
        <v>38.3</v>
      </c>
    </row>
    <row r="48" spans="1:7" ht="12.75">
      <c r="A48" s="35" t="s">
        <v>134</v>
      </c>
      <c r="C48" s="6">
        <v>2.57</v>
      </c>
      <c r="D48" s="6">
        <v>2.38</v>
      </c>
      <c r="F48" s="6">
        <v>2.5</v>
      </c>
      <c r="G48" s="6">
        <v>1.388</v>
      </c>
    </row>
    <row r="49" spans="1:7" ht="12.75">
      <c r="A49" s="35" t="s">
        <v>135</v>
      </c>
      <c r="C49" s="6">
        <v>6.6</v>
      </c>
      <c r="D49" s="6">
        <v>4.31</v>
      </c>
      <c r="F49" s="6">
        <v>6.1</v>
      </c>
      <c r="G49" s="6">
        <v>5.78</v>
      </c>
    </row>
    <row r="50" spans="1:6" ht="12.75">
      <c r="A50" s="35" t="s">
        <v>136</v>
      </c>
      <c r="D50" s="6">
        <v>0.83</v>
      </c>
      <c r="F50" s="6" t="s">
        <v>80</v>
      </c>
    </row>
    <row r="51" spans="1:6" ht="12.75">
      <c r="A51" s="35" t="s">
        <v>137</v>
      </c>
      <c r="C51" s="6">
        <v>3.6</v>
      </c>
      <c r="D51" s="6">
        <v>3.72</v>
      </c>
      <c r="F51" s="6">
        <v>3.88</v>
      </c>
    </row>
    <row r="52" spans="1:6" ht="12.75">
      <c r="A52" s="35" t="s">
        <v>138</v>
      </c>
      <c r="C52" s="6">
        <v>1.233</v>
      </c>
      <c r="D52" s="6">
        <v>1.07</v>
      </c>
      <c r="F52" s="6">
        <v>1.11</v>
      </c>
    </row>
    <row r="53" spans="1:6" ht="12.75">
      <c r="A53" s="35" t="s">
        <v>139</v>
      </c>
      <c r="C53" s="6">
        <v>0.631</v>
      </c>
      <c r="D53" s="6">
        <v>0.604</v>
      </c>
      <c r="F53" s="6">
        <v>0.64</v>
      </c>
    </row>
    <row r="54" spans="1:4" ht="12.75">
      <c r="A54" s="35" t="s">
        <v>140</v>
      </c>
      <c r="D54" s="6">
        <v>1.42</v>
      </c>
    </row>
    <row r="55" spans="1:6" ht="12.75">
      <c r="A55" s="35" t="s">
        <v>141</v>
      </c>
      <c r="C55" s="6">
        <v>0.289</v>
      </c>
      <c r="D55" s="6">
        <v>0.2555</v>
      </c>
      <c r="F55" s="6">
        <v>0.24</v>
      </c>
    </row>
    <row r="56" spans="1:6" ht="12.75">
      <c r="A56" s="35" t="s">
        <v>142</v>
      </c>
      <c r="D56" s="6">
        <v>1.74</v>
      </c>
      <c r="F56" s="6">
        <v>2.2</v>
      </c>
    </row>
    <row r="57" spans="1:6" ht="12.75">
      <c r="A57" s="35" t="s">
        <v>143</v>
      </c>
      <c r="D57" s="6">
        <v>0.373</v>
      </c>
      <c r="F57" s="6" t="s">
        <v>218</v>
      </c>
    </row>
    <row r="58" spans="1:4" ht="12.75">
      <c r="A58" s="35" t="s">
        <v>144</v>
      </c>
      <c r="D58" s="6">
        <v>1.15</v>
      </c>
    </row>
    <row r="59" spans="1:4" ht="12.75">
      <c r="A59" s="35" t="s">
        <v>145</v>
      </c>
      <c r="D59" s="6">
        <v>0.168</v>
      </c>
    </row>
    <row r="60" spans="1:6" ht="12.75">
      <c r="A60" s="35" t="s">
        <v>146</v>
      </c>
      <c r="C60" s="6">
        <v>1.275</v>
      </c>
      <c r="D60" s="6">
        <v>1.2</v>
      </c>
      <c r="F60" s="6">
        <v>1.3</v>
      </c>
    </row>
    <row r="61" spans="1:6" ht="12.75">
      <c r="A61" s="35" t="s">
        <v>147</v>
      </c>
      <c r="C61" s="6">
        <v>0.183</v>
      </c>
      <c r="D61" s="6">
        <v>0.167</v>
      </c>
      <c r="F61" s="6">
        <v>0.17</v>
      </c>
    </row>
    <row r="62" spans="1:6" ht="12.75">
      <c r="A62" s="35" t="s">
        <v>148</v>
      </c>
      <c r="C62" s="6">
        <v>0.97</v>
      </c>
      <c r="F62" s="6">
        <v>0.9</v>
      </c>
    </row>
    <row r="63" spans="1:6" ht="12.75">
      <c r="A63" s="35" t="s">
        <v>149</v>
      </c>
      <c r="C63" s="6">
        <v>0.132</v>
      </c>
      <c r="F63" s="6">
        <v>0.108</v>
      </c>
    </row>
    <row r="64" ht="12.75">
      <c r="A64" s="35" t="s">
        <v>150</v>
      </c>
    </row>
    <row r="65" ht="12.75">
      <c r="A65" s="35" t="s">
        <v>151</v>
      </c>
    </row>
    <row r="66" ht="12.75">
      <c r="A66" s="35" t="s">
        <v>152</v>
      </c>
    </row>
    <row r="67" spans="1:6" ht="12.75">
      <c r="A67" s="35" t="s">
        <v>153</v>
      </c>
      <c r="C67" s="6">
        <v>19.1</v>
      </c>
      <c r="D67" s="6">
        <v>21</v>
      </c>
      <c r="F67" s="6">
        <v>19</v>
      </c>
    </row>
    <row r="68" spans="1:6" ht="12.75">
      <c r="A68" s="35" t="s">
        <v>166</v>
      </c>
      <c r="D68" s="6">
        <v>38</v>
      </c>
      <c r="F68" s="6" t="s">
        <v>71</v>
      </c>
    </row>
    <row r="69" spans="1:5" ht="12.75">
      <c r="A69" s="35" t="s">
        <v>154</v>
      </c>
      <c r="C69" s="6">
        <v>5.5</v>
      </c>
      <c r="D69" s="6">
        <v>0.581</v>
      </c>
      <c r="E69" s="6" t="s">
        <v>268</v>
      </c>
    </row>
    <row r="70" spans="1:5" ht="12.75">
      <c r="A70" s="35" t="s">
        <v>155</v>
      </c>
      <c r="C70" s="6">
        <v>0.53</v>
      </c>
      <c r="D70" s="6">
        <v>0.473</v>
      </c>
      <c r="E70" s="6" t="s">
        <v>264</v>
      </c>
    </row>
    <row r="71" spans="1:6" ht="12.75">
      <c r="A71" s="35" t="s">
        <v>156</v>
      </c>
      <c r="C71" s="6">
        <v>0.25</v>
      </c>
      <c r="F71" s="6">
        <v>0.22</v>
      </c>
    </row>
    <row r="73" ht="12.75">
      <c r="A73" s="28" t="s">
        <v>254</v>
      </c>
    </row>
    <row r="74" ht="15">
      <c r="A74" s="36"/>
    </row>
    <row r="75" ht="15">
      <c r="A75" s="32" t="s">
        <v>257</v>
      </c>
    </row>
    <row r="76" ht="15">
      <c r="A76" s="36"/>
    </row>
    <row r="77" ht="15">
      <c r="A77" s="36" t="s">
        <v>174</v>
      </c>
    </row>
    <row r="78" ht="15">
      <c r="A78" s="36" t="s">
        <v>169</v>
      </c>
    </row>
    <row r="79" ht="15">
      <c r="A79" s="36" t="s">
        <v>170</v>
      </c>
    </row>
    <row r="80" ht="15">
      <c r="A80" s="36" t="s">
        <v>171</v>
      </c>
    </row>
    <row r="81" ht="15">
      <c r="A81" s="36"/>
    </row>
    <row r="82" ht="15">
      <c r="A82" s="36" t="s">
        <v>176</v>
      </c>
    </row>
    <row r="83" ht="15">
      <c r="A83" s="36" t="s">
        <v>172</v>
      </c>
    </row>
    <row r="84" spans="1:3" ht="15">
      <c r="A84" s="36" t="s">
        <v>175</v>
      </c>
      <c r="C84" s="6">
        <v>0.67</v>
      </c>
    </row>
    <row r="85" ht="15">
      <c r="A85" s="36" t="s">
        <v>173</v>
      </c>
    </row>
    <row r="86" ht="15">
      <c r="A86" s="36"/>
    </row>
    <row r="87" ht="15">
      <c r="A87" s="36" t="s">
        <v>179</v>
      </c>
    </row>
    <row r="88" ht="15">
      <c r="A88" s="36" t="s">
        <v>180</v>
      </c>
    </row>
    <row r="89" ht="15">
      <c r="A89" s="36" t="s">
        <v>178</v>
      </c>
    </row>
    <row r="90" ht="15">
      <c r="A90" s="36" t="s">
        <v>177</v>
      </c>
    </row>
    <row r="92" ht="15">
      <c r="A92" s="38" t="s">
        <v>322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61">
      <selection activeCell="A1" sqref="A1:C90"/>
    </sheetView>
  </sheetViews>
  <sheetFormatPr defaultColWidth="9.140625" defaultRowHeight="12.75"/>
  <cols>
    <col min="2" max="3" width="8.8515625" style="6" customWidth="1"/>
  </cols>
  <sheetData>
    <row r="1" ht="13.5">
      <c r="A1" s="5" t="s">
        <v>269</v>
      </c>
    </row>
    <row r="2" spans="1:2" ht="12.75">
      <c r="A2" s="1"/>
      <c r="B2" s="7"/>
    </row>
    <row r="3" spans="1:3" ht="12.75">
      <c r="A3" s="3" t="s">
        <v>103</v>
      </c>
      <c r="B3" s="6">
        <v>1</v>
      </c>
      <c r="C3" s="6">
        <v>1</v>
      </c>
    </row>
    <row r="4" spans="1:3" ht="12.75">
      <c r="A4" s="3" t="s">
        <v>104</v>
      </c>
      <c r="B4" s="6" t="s">
        <v>284</v>
      </c>
      <c r="C4" s="6">
        <v>210</v>
      </c>
    </row>
    <row r="5" spans="1:3" ht="12.75">
      <c r="A5" s="3" t="s">
        <v>251</v>
      </c>
      <c r="B5" s="6" t="s">
        <v>82</v>
      </c>
      <c r="C5" s="6" t="s">
        <v>215</v>
      </c>
    </row>
    <row r="7" spans="1:2" ht="12.75">
      <c r="A7" s="2" t="s">
        <v>162</v>
      </c>
      <c r="B7" s="6">
        <v>46</v>
      </c>
    </row>
    <row r="8" spans="1:2" ht="12.75">
      <c r="A8" s="2" t="s">
        <v>157</v>
      </c>
      <c r="B8" s="6">
        <v>0.34</v>
      </c>
    </row>
    <row r="9" spans="1:2" ht="12.75">
      <c r="A9" s="2" t="s">
        <v>158</v>
      </c>
      <c r="B9" s="6">
        <v>21.8</v>
      </c>
    </row>
    <row r="10" spans="1:2" ht="12.75">
      <c r="A10" s="2" t="s">
        <v>105</v>
      </c>
      <c r="B10" s="6">
        <v>8.55</v>
      </c>
    </row>
    <row r="11" spans="1:2" ht="12.75">
      <c r="A11" s="2" t="s">
        <v>106</v>
      </c>
      <c r="B11" s="6">
        <v>0.12</v>
      </c>
    </row>
    <row r="12" spans="1:2" ht="12.75">
      <c r="A12" s="2" t="s">
        <v>108</v>
      </c>
      <c r="B12" s="6">
        <v>9.15</v>
      </c>
    </row>
    <row r="13" spans="1:2" ht="12.75">
      <c r="A13" s="2" t="s">
        <v>107</v>
      </c>
      <c r="B13" s="6">
        <v>13</v>
      </c>
    </row>
    <row r="14" spans="1:2" ht="12.75">
      <c r="A14" s="2" t="s">
        <v>159</v>
      </c>
      <c r="B14" s="6">
        <v>0.32</v>
      </c>
    </row>
    <row r="15" spans="1:2" ht="12.75">
      <c r="A15" s="2" t="s">
        <v>160</v>
      </c>
      <c r="B15" s="6">
        <v>0.12</v>
      </c>
    </row>
    <row r="16" spans="1:2" ht="12.75">
      <c r="A16" s="2" t="s">
        <v>161</v>
      </c>
      <c r="B16" s="6">
        <v>0.06</v>
      </c>
    </row>
    <row r="17" ht="12.75">
      <c r="A17" s="2" t="s">
        <v>181</v>
      </c>
    </row>
    <row r="18" spans="1:2" ht="12.75">
      <c r="A18" s="3" t="s">
        <v>109</v>
      </c>
      <c r="B18" s="6">
        <v>99.6</v>
      </c>
    </row>
    <row r="19" ht="12.75">
      <c r="A19" s="3"/>
    </row>
    <row r="20" spans="1:3" ht="12.75">
      <c r="A20" s="2" t="s">
        <v>163</v>
      </c>
      <c r="C20" s="6">
        <v>19.7</v>
      </c>
    </row>
    <row r="21" ht="12.75">
      <c r="A21" s="2" t="s">
        <v>110</v>
      </c>
    </row>
    <row r="22" spans="1:3" ht="12.75">
      <c r="A22" s="2" t="s">
        <v>111</v>
      </c>
      <c r="C22" s="6">
        <v>1500</v>
      </c>
    </row>
    <row r="23" spans="1:3" ht="12.75">
      <c r="A23" s="2" t="s">
        <v>112</v>
      </c>
      <c r="C23" s="6">
        <v>44.3</v>
      </c>
    </row>
    <row r="24" spans="1:3" ht="12.75">
      <c r="A24" s="2" t="s">
        <v>113</v>
      </c>
      <c r="C24" s="6">
        <v>602</v>
      </c>
    </row>
    <row r="25" ht="12.75">
      <c r="A25" s="2" t="s">
        <v>114</v>
      </c>
    </row>
    <row r="26" ht="12.75">
      <c r="A26" s="2" t="s">
        <v>115</v>
      </c>
    </row>
    <row r="27" ht="12.75">
      <c r="A27" s="2" t="s">
        <v>116</v>
      </c>
    </row>
    <row r="28" ht="12.75">
      <c r="A28" s="2" t="s">
        <v>117</v>
      </c>
    </row>
    <row r="29" spans="1:3" ht="12.75">
      <c r="A29" s="2" t="s">
        <v>118</v>
      </c>
      <c r="C29" s="6">
        <v>0.5</v>
      </c>
    </row>
    <row r="30" spans="1:3" ht="12.75">
      <c r="A30" s="2" t="s">
        <v>119</v>
      </c>
      <c r="C30" s="6">
        <v>0.4</v>
      </c>
    </row>
    <row r="31" spans="1:3" ht="12.75">
      <c r="A31" s="2" t="s">
        <v>120</v>
      </c>
      <c r="C31" s="6" t="s">
        <v>3</v>
      </c>
    </row>
    <row r="32" spans="1:3" ht="12.75">
      <c r="A32" s="2" t="s">
        <v>121</v>
      </c>
      <c r="C32" s="6">
        <v>254</v>
      </c>
    </row>
    <row r="33" ht="12.75">
      <c r="A33" s="2" t="s">
        <v>122</v>
      </c>
    </row>
    <row r="34" spans="1:3" ht="12.75">
      <c r="A34" s="2" t="s">
        <v>123</v>
      </c>
      <c r="C34" s="6">
        <v>35</v>
      </c>
    </row>
    <row r="35" ht="12.75">
      <c r="A35" s="2" t="s">
        <v>124</v>
      </c>
    </row>
    <row r="36" ht="12.75">
      <c r="A36" s="2" t="s">
        <v>125</v>
      </c>
    </row>
    <row r="37" ht="12.75">
      <c r="A37" s="2" t="s">
        <v>167</v>
      </c>
    </row>
    <row r="38" ht="12.75">
      <c r="A38" s="2" t="s">
        <v>168</v>
      </c>
    </row>
    <row r="39" ht="12.75">
      <c r="A39" s="2" t="s">
        <v>126</v>
      </c>
    </row>
    <row r="40" ht="12.75">
      <c r="A40" s="2" t="s">
        <v>127</v>
      </c>
    </row>
    <row r="41" ht="12.75">
      <c r="A41" s="2" t="s">
        <v>128</v>
      </c>
    </row>
    <row r="42" ht="12.75">
      <c r="A42" s="2" t="s">
        <v>129</v>
      </c>
    </row>
    <row r="43" ht="12.75">
      <c r="A43" s="2" t="s">
        <v>164</v>
      </c>
    </row>
    <row r="44" ht="12.75">
      <c r="A44" s="2" t="s">
        <v>130</v>
      </c>
    </row>
    <row r="45" ht="12.75">
      <c r="A45" s="2" t="s">
        <v>131</v>
      </c>
    </row>
    <row r="46" spans="1:3" ht="12.75">
      <c r="A46" s="2" t="s">
        <v>132</v>
      </c>
      <c r="C46" s="6" t="s">
        <v>9</v>
      </c>
    </row>
    <row r="47" spans="1:3" ht="12.75">
      <c r="A47" s="2" t="s">
        <v>133</v>
      </c>
      <c r="C47" s="6">
        <v>447</v>
      </c>
    </row>
    <row r="48" spans="1:3" ht="12.75">
      <c r="A48" s="2" t="s">
        <v>134</v>
      </c>
      <c r="C48" s="6">
        <v>2.34</v>
      </c>
    </row>
    <row r="49" spans="1:3" ht="12.75">
      <c r="A49" s="2" t="s">
        <v>135</v>
      </c>
      <c r="C49" s="6">
        <v>6.3</v>
      </c>
    </row>
    <row r="50" ht="12.75">
      <c r="A50" s="2" t="s">
        <v>136</v>
      </c>
    </row>
    <row r="51" spans="1:3" ht="12.75">
      <c r="A51" s="2" t="s">
        <v>137</v>
      </c>
      <c r="C51" s="6">
        <v>3.5</v>
      </c>
    </row>
    <row r="52" spans="1:3" ht="12.75">
      <c r="A52" s="2" t="s">
        <v>138</v>
      </c>
      <c r="C52" s="6">
        <v>1.16</v>
      </c>
    </row>
    <row r="53" spans="1:3" ht="12.75">
      <c r="A53" s="2" t="s">
        <v>139</v>
      </c>
      <c r="C53" s="6">
        <v>0.64</v>
      </c>
    </row>
    <row r="54" ht="12.75">
      <c r="A54" s="2" t="s">
        <v>140</v>
      </c>
    </row>
    <row r="55" spans="1:3" ht="12.75">
      <c r="A55" s="2" t="s">
        <v>141</v>
      </c>
      <c r="C55" s="6">
        <v>0.278</v>
      </c>
    </row>
    <row r="56" ht="12.75">
      <c r="A56" s="2" t="s">
        <v>142</v>
      </c>
    </row>
    <row r="57" ht="12.75">
      <c r="A57" s="2" t="s">
        <v>143</v>
      </c>
    </row>
    <row r="58" ht="12.75">
      <c r="A58" s="2" t="s">
        <v>144</v>
      </c>
    </row>
    <row r="59" ht="12.75">
      <c r="A59" s="2" t="s">
        <v>145</v>
      </c>
    </row>
    <row r="60" spans="1:3" ht="12.75">
      <c r="A60" s="2" t="s">
        <v>146</v>
      </c>
      <c r="C60" s="6">
        <v>1.26</v>
      </c>
    </row>
    <row r="61" spans="1:3" ht="12.75">
      <c r="A61" s="2" t="s">
        <v>147</v>
      </c>
      <c r="C61" s="6">
        <v>0.181</v>
      </c>
    </row>
    <row r="62" spans="1:3" ht="12.75">
      <c r="A62" s="2" t="s">
        <v>148</v>
      </c>
      <c r="C62" s="6">
        <v>0.89</v>
      </c>
    </row>
    <row r="63" spans="1:3" ht="12.75">
      <c r="A63" s="2" t="s">
        <v>149</v>
      </c>
      <c r="C63" s="6">
        <v>0.14</v>
      </c>
    </row>
    <row r="64" ht="12.75">
      <c r="A64" s="2" t="s">
        <v>150</v>
      </c>
    </row>
    <row r="65" ht="12.75">
      <c r="A65" s="2" t="s">
        <v>151</v>
      </c>
    </row>
    <row r="66" ht="12.75">
      <c r="A66" s="2" t="s">
        <v>152</v>
      </c>
    </row>
    <row r="67" spans="1:3" ht="12.75">
      <c r="A67" s="2" t="s">
        <v>153</v>
      </c>
      <c r="C67" s="6">
        <v>27.4</v>
      </c>
    </row>
    <row r="68" ht="12.75">
      <c r="A68" s="2" t="s">
        <v>166</v>
      </c>
    </row>
    <row r="69" spans="1:3" ht="12.75">
      <c r="A69" s="2" t="s">
        <v>154</v>
      </c>
      <c r="C69" s="6">
        <v>8</v>
      </c>
    </row>
    <row r="70" spans="1:3" ht="12.75">
      <c r="A70" s="2" t="s">
        <v>155</v>
      </c>
      <c r="C70" s="6">
        <v>0.5</v>
      </c>
    </row>
    <row r="71" spans="1:3" ht="12.75">
      <c r="A71" s="2" t="s">
        <v>156</v>
      </c>
      <c r="C71" s="6">
        <v>0.16</v>
      </c>
    </row>
    <row r="72" ht="12.75">
      <c r="A72" s="28" t="s">
        <v>254</v>
      </c>
    </row>
    <row r="73" ht="12.75">
      <c r="A73" s="3"/>
    </row>
    <row r="74" ht="12.75">
      <c r="A74" s="4" t="s">
        <v>270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spans="1:3" ht="12.75">
      <c r="A82" s="2" t="s">
        <v>175</v>
      </c>
      <c r="C82" s="6">
        <v>1.2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 t="s">
        <v>259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workbookViewId="0" topLeftCell="A1">
      <pane ySplit="2076" topLeftCell="BM71" activePane="bottomLeft" state="split"/>
      <selection pane="topLeft" activeCell="A2" sqref="A2:IV5"/>
      <selection pane="bottomLeft" activeCell="A72" sqref="A72:IV72"/>
    </sheetView>
  </sheetViews>
  <sheetFormatPr defaultColWidth="9.140625" defaultRowHeight="12.75"/>
  <cols>
    <col min="1" max="1" width="10.28125" style="0" customWidth="1"/>
    <col min="2" max="2" width="7.28125" style="0" customWidth="1"/>
    <col min="3" max="3" width="11.28125" style="0" customWidth="1"/>
    <col min="4" max="4" width="9.421875" style="0" customWidth="1"/>
    <col min="5" max="5" width="7.7109375" style="0" customWidth="1"/>
    <col min="6" max="6" width="7.28125" style="0" customWidth="1"/>
    <col min="7" max="7" width="6.28125" style="0" customWidth="1"/>
    <col min="8" max="8" width="8.421875" style="0" customWidth="1"/>
  </cols>
  <sheetData>
    <row r="1" spans="1:5" ht="13.5">
      <c r="A1" s="18" t="s">
        <v>87</v>
      </c>
      <c r="B1" s="18"/>
      <c r="C1" s="18"/>
      <c r="D1" s="18"/>
      <c r="E1" s="18"/>
    </row>
    <row r="2" spans="1:16" s="6" customFormat="1" ht="13.5">
      <c r="A2" s="27" t="s">
        <v>103</v>
      </c>
      <c r="B2" s="9">
        <v>1</v>
      </c>
      <c r="C2" s="9">
        <v>2</v>
      </c>
      <c r="D2" s="9">
        <v>3</v>
      </c>
      <c r="E2" s="9">
        <v>1</v>
      </c>
      <c r="F2" s="9">
        <v>1</v>
      </c>
      <c r="G2" s="9">
        <v>4</v>
      </c>
      <c r="H2" s="9">
        <v>1</v>
      </c>
      <c r="I2" s="9">
        <v>1</v>
      </c>
      <c r="J2" s="9">
        <v>8</v>
      </c>
      <c r="K2" s="9">
        <v>8</v>
      </c>
      <c r="L2" s="9">
        <v>8</v>
      </c>
      <c r="M2" s="6">
        <v>5</v>
      </c>
      <c r="N2" s="9">
        <v>2</v>
      </c>
      <c r="O2" s="9">
        <v>6</v>
      </c>
      <c r="P2" s="9">
        <v>7</v>
      </c>
    </row>
    <row r="3" spans="1:12" s="6" customFormat="1" ht="13.5">
      <c r="A3" s="27" t="s">
        <v>194</v>
      </c>
      <c r="B3" s="9" t="s">
        <v>195</v>
      </c>
      <c r="C3" s="9" t="s">
        <v>196</v>
      </c>
      <c r="D3" s="9" t="s">
        <v>197</v>
      </c>
      <c r="E3" s="9"/>
      <c r="F3" s="9" t="s">
        <v>198</v>
      </c>
      <c r="G3" s="9" t="s">
        <v>199</v>
      </c>
      <c r="J3" s="6" t="s">
        <v>214</v>
      </c>
      <c r="K3" s="6" t="s">
        <v>214</v>
      </c>
      <c r="L3" s="6" t="s">
        <v>49</v>
      </c>
    </row>
    <row r="4" spans="1:5" s="6" customFormat="1" ht="13.5">
      <c r="A4" s="27" t="s">
        <v>104</v>
      </c>
      <c r="B4" s="9">
        <v>70</v>
      </c>
      <c r="C4" s="9">
        <v>244</v>
      </c>
      <c r="D4" s="9">
        <v>229.3</v>
      </c>
      <c r="E4" s="9">
        <v>122</v>
      </c>
    </row>
    <row r="5" spans="1:16" s="6" customFormat="1" ht="13.5">
      <c r="A5" s="27" t="s">
        <v>251</v>
      </c>
      <c r="B5" s="9" t="s">
        <v>215</v>
      </c>
      <c r="C5" s="9" t="s">
        <v>215</v>
      </c>
      <c r="D5" s="9" t="s">
        <v>215</v>
      </c>
      <c r="E5" s="9" t="s">
        <v>215</v>
      </c>
      <c r="F5" s="9" t="s">
        <v>215</v>
      </c>
      <c r="G5" s="9" t="s">
        <v>215</v>
      </c>
      <c r="H5" s="9" t="s">
        <v>215</v>
      </c>
      <c r="I5" s="9" t="s">
        <v>215</v>
      </c>
      <c r="J5" s="9" t="s">
        <v>253</v>
      </c>
      <c r="K5" s="9" t="s">
        <v>253</v>
      </c>
      <c r="L5" s="9" t="s">
        <v>253</v>
      </c>
      <c r="M5" s="9" t="s">
        <v>215</v>
      </c>
      <c r="N5" s="9" t="s">
        <v>215</v>
      </c>
      <c r="O5" s="9" t="s">
        <v>215</v>
      </c>
      <c r="P5" s="9" t="s">
        <v>215</v>
      </c>
    </row>
    <row r="6" spans="1:5" ht="13.5">
      <c r="A6" s="8"/>
      <c r="B6" s="8"/>
      <c r="C6" s="8"/>
      <c r="D6" s="8"/>
      <c r="E6" s="9"/>
    </row>
    <row r="7" spans="1:16" ht="15.75">
      <c r="A7" s="8" t="s">
        <v>50</v>
      </c>
      <c r="B7" s="23"/>
      <c r="C7" s="24">
        <v>45.137023851904594</v>
      </c>
      <c r="D7" s="24">
        <v>42.997828408686374</v>
      </c>
      <c r="E7" s="25"/>
      <c r="F7" s="17"/>
      <c r="G7" s="17"/>
      <c r="H7" s="17">
        <v>43.66097899608402</v>
      </c>
      <c r="I7" s="17">
        <v>44.110210039159846</v>
      </c>
      <c r="J7" s="17">
        <v>45.54</v>
      </c>
      <c r="K7" s="17">
        <v>44.47</v>
      </c>
      <c r="L7" s="17">
        <v>44.05</v>
      </c>
      <c r="M7" s="17"/>
      <c r="N7" s="17"/>
      <c r="O7" s="17"/>
      <c r="P7" s="17"/>
    </row>
    <row r="8" spans="1:16" ht="15.75">
      <c r="A8" s="8" t="s">
        <v>51</v>
      </c>
      <c r="B8" s="23"/>
      <c r="C8" s="24">
        <v>0.25020876826722344</v>
      </c>
      <c r="D8" s="24">
        <v>0.18849060542797497</v>
      </c>
      <c r="E8" s="25">
        <v>0.20016701461377873</v>
      </c>
      <c r="F8" s="24">
        <v>0.20016701461377873</v>
      </c>
      <c r="G8" s="24">
        <v>0.10008350730688936</v>
      </c>
      <c r="H8" s="24">
        <v>0.030025052192066803</v>
      </c>
      <c r="I8" s="24">
        <v>0.20016701461377873</v>
      </c>
      <c r="J8" s="24">
        <v>0.12</v>
      </c>
      <c r="K8" s="24">
        <v>0.18</v>
      </c>
      <c r="L8" s="24">
        <v>0.23</v>
      </c>
      <c r="M8" s="17"/>
      <c r="N8" s="24">
        <v>0.35029227557411274</v>
      </c>
      <c r="O8" s="24">
        <v>0.4170146137787057</v>
      </c>
      <c r="P8" s="24">
        <v>0.2668893528183716</v>
      </c>
    </row>
    <row r="9" spans="1:16" ht="15.75">
      <c r="A9" s="8" t="s">
        <v>52</v>
      </c>
      <c r="B9" s="23"/>
      <c r="C9" s="24">
        <v>27.766666666666666</v>
      </c>
      <c r="D9" s="24">
        <v>29.372222222222224</v>
      </c>
      <c r="E9" s="25">
        <v>27.57777777777778</v>
      </c>
      <c r="F9" s="24">
        <v>28.144444444444442</v>
      </c>
      <c r="G9" s="17"/>
      <c r="H9" s="24">
        <v>29.07</v>
      </c>
      <c r="I9" s="24">
        <v>29.24</v>
      </c>
      <c r="J9" s="24">
        <v>28.71</v>
      </c>
      <c r="K9" s="24">
        <v>28.52</v>
      </c>
      <c r="L9" s="24">
        <v>30.22</v>
      </c>
      <c r="M9" s="17"/>
      <c r="N9" s="24">
        <v>25.31111111111111</v>
      </c>
      <c r="O9" s="24">
        <v>25.556666666666665</v>
      </c>
      <c r="P9" s="24">
        <v>25.78333333333333</v>
      </c>
    </row>
    <row r="10" spans="1:16" ht="13.5">
      <c r="A10" s="8" t="s">
        <v>105</v>
      </c>
      <c r="B10" s="23">
        <v>4.11674127126231</v>
      </c>
      <c r="C10" s="24">
        <v>4.219659803043867</v>
      </c>
      <c r="D10" s="24">
        <v>4.1939301700984775</v>
      </c>
      <c r="E10" s="25">
        <v>4.361172784243509</v>
      </c>
      <c r="F10" s="24">
        <v>4.28398388540734</v>
      </c>
      <c r="G10" s="24">
        <v>3.730796777081468</v>
      </c>
      <c r="H10" s="24">
        <v>5.030143240823635</v>
      </c>
      <c r="I10" s="24">
        <v>4.206794986571172</v>
      </c>
      <c r="J10" s="24">
        <v>4.41</v>
      </c>
      <c r="K10" s="24">
        <v>4.45</v>
      </c>
      <c r="L10" s="24">
        <v>5</v>
      </c>
      <c r="M10" s="24">
        <v>6.239435989256937</v>
      </c>
      <c r="N10" s="24">
        <v>5.750572963294538</v>
      </c>
      <c r="O10" s="24">
        <v>6.097923008057295</v>
      </c>
      <c r="P10" s="24">
        <v>5.634789615040286</v>
      </c>
    </row>
    <row r="11" spans="1:16" ht="13.5">
      <c r="A11" s="8" t="s">
        <v>106</v>
      </c>
      <c r="B11" s="23">
        <v>0.0503578449217328</v>
      </c>
      <c r="C11" s="24">
        <v>0.06068765926465235</v>
      </c>
      <c r="D11" s="24">
        <v>0.056039242810338556</v>
      </c>
      <c r="E11" s="25">
        <v>0.06236625409537677</v>
      </c>
      <c r="F11" s="24">
        <v>0.06494870768110667</v>
      </c>
      <c r="G11" s="17"/>
      <c r="H11" s="24">
        <v>0.02995646159446669</v>
      </c>
      <c r="I11" s="24">
        <v>0.05913818711321442</v>
      </c>
      <c r="J11" s="24">
        <v>0.05</v>
      </c>
      <c r="K11" s="24">
        <v>0.05</v>
      </c>
      <c r="L11" s="24">
        <v>0.06</v>
      </c>
      <c r="M11" s="24">
        <v>0.09632551874772478</v>
      </c>
      <c r="N11" s="24">
        <v>0.07747360757189661</v>
      </c>
      <c r="O11" s="24">
        <v>0.0848336002912268</v>
      </c>
      <c r="P11" s="24">
        <v>0.08095991991263196</v>
      </c>
    </row>
    <row r="12" spans="1:16" ht="13.5">
      <c r="A12" s="8" t="s">
        <v>108</v>
      </c>
      <c r="B12" s="23"/>
      <c r="C12" s="24">
        <v>5.555761316872427</v>
      </c>
      <c r="D12" s="24">
        <v>5.074814814814815</v>
      </c>
      <c r="E12" s="25">
        <v>5.937201646090535</v>
      </c>
      <c r="F12" s="24">
        <v>4.809465020576131</v>
      </c>
      <c r="G12" s="17"/>
      <c r="H12" s="24">
        <v>5.025061728395061</v>
      </c>
      <c r="I12" s="24">
        <v>5.240658436213992</v>
      </c>
      <c r="J12" s="24">
        <v>0.29</v>
      </c>
      <c r="K12" s="24">
        <v>5.57</v>
      </c>
      <c r="L12" s="24">
        <v>5.54</v>
      </c>
      <c r="M12" s="17"/>
      <c r="N12" s="24">
        <v>5.306995884773663</v>
      </c>
      <c r="O12" s="24">
        <v>5.7547736625514405</v>
      </c>
      <c r="P12" s="24">
        <v>5.10798353909465</v>
      </c>
    </row>
    <row r="13" spans="1:16" ht="13.5">
      <c r="A13" s="8" t="s">
        <v>107</v>
      </c>
      <c r="B13" s="23"/>
      <c r="C13" s="24">
        <v>15.671057884231535</v>
      </c>
      <c r="D13" s="24">
        <v>16.650499001996007</v>
      </c>
      <c r="E13" s="25">
        <v>16.090818363273453</v>
      </c>
      <c r="F13" s="24">
        <v>16.23073852295409</v>
      </c>
      <c r="G13" s="17"/>
      <c r="H13" s="24">
        <v>16.622514970059882</v>
      </c>
      <c r="I13" s="24">
        <v>16.23073852295409</v>
      </c>
      <c r="J13" s="24">
        <v>15.39</v>
      </c>
      <c r="K13" s="24">
        <v>15.39</v>
      </c>
      <c r="L13" s="24">
        <v>15.81</v>
      </c>
      <c r="M13" s="17"/>
      <c r="N13" s="24">
        <v>14.27185628742515</v>
      </c>
      <c r="O13" s="24">
        <v>14.831536926147704</v>
      </c>
      <c r="P13" s="24">
        <v>16.650499001996007</v>
      </c>
    </row>
    <row r="14" spans="1:16" ht="15.75">
      <c r="A14" s="8" t="s">
        <v>53</v>
      </c>
      <c r="B14" s="23">
        <v>0.43116521739130437</v>
      </c>
      <c r="C14" s="24">
        <v>0.44598652173913045</v>
      </c>
      <c r="D14" s="24">
        <v>0.4176913043478261</v>
      </c>
      <c r="E14" s="25">
        <v>0.40421739130434775</v>
      </c>
      <c r="F14" s="24">
        <v>0.4176913043478261</v>
      </c>
      <c r="G14" s="24">
        <v>0.39074347826086947</v>
      </c>
      <c r="H14" s="24">
        <v>0.4446391304347826</v>
      </c>
      <c r="I14" s="24">
        <v>0.43116521739130437</v>
      </c>
      <c r="J14" s="24">
        <v>0.46</v>
      </c>
      <c r="K14" s="24">
        <v>0.53</v>
      </c>
      <c r="L14" s="24">
        <v>0.5</v>
      </c>
      <c r="M14" s="24">
        <v>0.39074347826086947</v>
      </c>
      <c r="N14" s="24">
        <v>0.3678378260869565</v>
      </c>
      <c r="O14" s="24">
        <v>0.35705869565217396</v>
      </c>
      <c r="P14" s="24">
        <v>0.40421739130434775</v>
      </c>
    </row>
    <row r="15" spans="1:16" ht="15.75">
      <c r="A15" s="8" t="s">
        <v>54</v>
      </c>
      <c r="B15" s="23">
        <v>0.01626214833759591</v>
      </c>
      <c r="C15" s="24">
        <v>0.02517621483375959</v>
      </c>
      <c r="D15" s="24" t="s">
        <v>46</v>
      </c>
      <c r="E15" s="25">
        <v>0.0180690537084399</v>
      </c>
      <c r="F15" s="24">
        <v>0.013009718670076725</v>
      </c>
      <c r="G15" s="24">
        <v>0.016984910485933504</v>
      </c>
      <c r="H15" s="17" t="s">
        <v>47</v>
      </c>
      <c r="I15" s="24">
        <v>0.019875959079283887</v>
      </c>
      <c r="J15" s="24"/>
      <c r="K15" s="24"/>
      <c r="L15" s="24"/>
      <c r="M15" s="24">
        <v>0.020478260869565217</v>
      </c>
      <c r="N15" s="24">
        <v>0.020839641943734014</v>
      </c>
      <c r="O15" s="24">
        <v>0.0180690537084399</v>
      </c>
      <c r="P15" s="24">
        <v>0.03698132992327366</v>
      </c>
    </row>
    <row r="16" spans="1:16" ht="15.75">
      <c r="A16" s="8" t="s">
        <v>55</v>
      </c>
      <c r="B16" s="23"/>
      <c r="C16" s="24"/>
      <c r="D16" s="24">
        <v>259.05715208266065</v>
      </c>
      <c r="E16" s="25"/>
      <c r="F16" s="17"/>
      <c r="G16" s="17"/>
      <c r="H16" s="24">
        <v>596.0607039070068</v>
      </c>
      <c r="I16" s="24">
        <v>259.05715208266065</v>
      </c>
      <c r="J16" s="24"/>
      <c r="K16" s="24"/>
      <c r="L16" s="24"/>
      <c r="M16" s="17"/>
      <c r="N16" s="17"/>
      <c r="O16" s="17"/>
      <c r="P16" s="17"/>
    </row>
    <row r="17" spans="1:5" ht="13.5">
      <c r="A17" s="8" t="s">
        <v>181</v>
      </c>
      <c r="B17" s="8"/>
      <c r="C17" s="8"/>
      <c r="D17" s="8"/>
      <c r="E17" s="9"/>
    </row>
    <row r="18" spans="1:5" ht="13.5">
      <c r="A18" s="8" t="s">
        <v>109</v>
      </c>
      <c r="B18" s="8"/>
      <c r="C18" s="8"/>
      <c r="D18" s="8"/>
      <c r="E18" s="9"/>
    </row>
    <row r="19" spans="1:5" ht="13.5">
      <c r="A19" s="8"/>
      <c r="B19" s="8"/>
      <c r="C19" s="8"/>
      <c r="D19" s="8"/>
      <c r="E19" s="9"/>
    </row>
    <row r="20" spans="1:16" ht="13.5">
      <c r="A20" s="8" t="s">
        <v>163</v>
      </c>
      <c r="B20" s="10">
        <v>7.26</v>
      </c>
      <c r="C20" s="10">
        <v>8.1</v>
      </c>
      <c r="D20" s="10">
        <v>8.46</v>
      </c>
      <c r="E20" s="9">
        <v>8.84</v>
      </c>
      <c r="F20" s="10">
        <v>8.69</v>
      </c>
      <c r="G20" s="10">
        <v>7.3</v>
      </c>
      <c r="I20" s="10">
        <v>8.27</v>
      </c>
      <c r="J20" s="10">
        <v>8.56</v>
      </c>
      <c r="K20" s="10">
        <v>10.32</v>
      </c>
      <c r="L20" s="10">
        <v>10.34</v>
      </c>
      <c r="M20" s="26">
        <v>13.8</v>
      </c>
      <c r="N20" s="26">
        <v>13.5</v>
      </c>
      <c r="O20" s="26">
        <v>14.5</v>
      </c>
      <c r="P20" s="26">
        <v>12.2</v>
      </c>
    </row>
    <row r="21" spans="1:16" ht="13.5">
      <c r="A21" s="8" t="s">
        <v>110</v>
      </c>
      <c r="B21" s="10"/>
      <c r="C21" s="10">
        <v>30</v>
      </c>
      <c r="D21" s="10"/>
      <c r="E21" s="9">
        <v>28</v>
      </c>
      <c r="F21">
        <v>25</v>
      </c>
      <c r="I21">
        <v>29</v>
      </c>
      <c r="J21">
        <v>35.1</v>
      </c>
      <c r="K21">
        <v>18.5</v>
      </c>
      <c r="L21">
        <v>38.8</v>
      </c>
      <c r="M21" s="15"/>
      <c r="N21" s="26">
        <v>36</v>
      </c>
      <c r="O21" s="26">
        <v>41</v>
      </c>
      <c r="P21" s="26">
        <v>31</v>
      </c>
    </row>
    <row r="22" spans="1:16" ht="13.5">
      <c r="A22" s="8" t="s">
        <v>111</v>
      </c>
      <c r="B22" s="10">
        <v>660</v>
      </c>
      <c r="C22" s="10">
        <v>660</v>
      </c>
      <c r="D22" s="10">
        <v>693</v>
      </c>
      <c r="E22" s="9">
        <v>724</v>
      </c>
      <c r="F22" s="10">
        <v>527</v>
      </c>
      <c r="G22" s="10">
        <v>710</v>
      </c>
      <c r="I22" s="10">
        <v>666</v>
      </c>
      <c r="J22" s="10">
        <v>648</v>
      </c>
      <c r="K22" s="10">
        <v>605</v>
      </c>
      <c r="L22" s="10">
        <v>752</v>
      </c>
      <c r="M22" s="26">
        <v>1156</v>
      </c>
      <c r="N22" s="26">
        <v>1010</v>
      </c>
      <c r="O22" s="26">
        <v>1020</v>
      </c>
      <c r="P22" s="26">
        <v>1053</v>
      </c>
    </row>
    <row r="23" spans="1:16" ht="13.5">
      <c r="A23" s="8" t="s">
        <v>112</v>
      </c>
      <c r="B23" s="8">
        <v>13.2</v>
      </c>
      <c r="C23" s="8">
        <v>14.4</v>
      </c>
      <c r="D23" s="8">
        <v>14.4</v>
      </c>
      <c r="E23" s="9">
        <v>14.8</v>
      </c>
      <c r="F23" s="8">
        <v>14.9</v>
      </c>
      <c r="G23" s="8">
        <v>13.1</v>
      </c>
      <c r="I23" s="8">
        <v>14.4</v>
      </c>
      <c r="J23" s="8">
        <v>16.2</v>
      </c>
      <c r="K23" s="8">
        <v>14</v>
      </c>
      <c r="L23" s="8">
        <v>16.3</v>
      </c>
      <c r="M23" s="26">
        <v>18.6</v>
      </c>
      <c r="N23" s="26">
        <v>16.7</v>
      </c>
      <c r="O23" s="26">
        <v>19.9</v>
      </c>
      <c r="P23" s="26">
        <v>19.2</v>
      </c>
    </row>
    <row r="24" spans="1:16" ht="13.5">
      <c r="A24" s="8" t="s">
        <v>113</v>
      </c>
      <c r="B24" s="8">
        <v>150</v>
      </c>
      <c r="C24" s="8">
        <v>115</v>
      </c>
      <c r="D24" s="8">
        <v>132</v>
      </c>
      <c r="E24" s="9">
        <v>130</v>
      </c>
      <c r="F24" s="8">
        <v>155</v>
      </c>
      <c r="I24">
        <v>131</v>
      </c>
      <c r="J24">
        <v>130</v>
      </c>
      <c r="K24">
        <v>110</v>
      </c>
      <c r="L24">
        <v>115</v>
      </c>
      <c r="M24" s="26">
        <v>159</v>
      </c>
      <c r="N24" s="26">
        <v>122</v>
      </c>
      <c r="O24" s="26">
        <v>120</v>
      </c>
      <c r="P24" s="26">
        <v>148</v>
      </c>
    </row>
    <row r="25" spans="1:16" ht="13.5">
      <c r="A25" s="8" t="s">
        <v>114</v>
      </c>
      <c r="B25" s="10"/>
      <c r="C25" s="10"/>
      <c r="D25" s="10"/>
      <c r="E25" s="9"/>
      <c r="M25" s="15"/>
      <c r="N25" s="15"/>
      <c r="O25" s="15"/>
      <c r="P25" s="15"/>
    </row>
    <row r="26" spans="1:16" ht="13.5">
      <c r="A26" s="8" t="s">
        <v>115</v>
      </c>
      <c r="B26" s="10">
        <v>10</v>
      </c>
      <c r="C26" s="10">
        <v>6.4</v>
      </c>
      <c r="D26" s="10"/>
      <c r="E26" s="9">
        <v>14</v>
      </c>
      <c r="I26">
        <v>9.1</v>
      </c>
      <c r="M26" s="15"/>
      <c r="N26" s="26">
        <v>7.3</v>
      </c>
      <c r="O26" s="26">
        <v>30</v>
      </c>
      <c r="P26" s="15"/>
    </row>
    <row r="27" spans="1:16" ht="13.5">
      <c r="A27" s="8" t="s">
        <v>116</v>
      </c>
      <c r="B27" s="10">
        <v>4.8</v>
      </c>
      <c r="C27" s="10">
        <v>3.4</v>
      </c>
      <c r="E27" s="9">
        <v>3.54</v>
      </c>
      <c r="I27">
        <v>3.66</v>
      </c>
      <c r="J27">
        <v>3.65</v>
      </c>
      <c r="K27">
        <v>2.86</v>
      </c>
      <c r="L27" t="s">
        <v>1</v>
      </c>
      <c r="M27" s="26">
        <v>10.4</v>
      </c>
      <c r="N27" s="26">
        <v>2.8</v>
      </c>
      <c r="O27" s="26">
        <v>3.78</v>
      </c>
      <c r="P27" s="15"/>
    </row>
    <row r="28" spans="1:16" ht="13.5">
      <c r="A28" s="8" t="s">
        <v>117</v>
      </c>
      <c r="B28" s="8"/>
      <c r="M28" s="15"/>
      <c r="N28" s="15"/>
      <c r="O28" s="15"/>
      <c r="P28" s="15"/>
    </row>
    <row r="29" spans="1:16" ht="13.5">
      <c r="A29" s="8" t="s">
        <v>118</v>
      </c>
      <c r="B29" s="8">
        <v>0.27</v>
      </c>
      <c r="E29" t="s">
        <v>200</v>
      </c>
      <c r="I29">
        <v>0.27</v>
      </c>
      <c r="M29" s="26">
        <v>0.028</v>
      </c>
      <c r="N29" s="15"/>
      <c r="O29" s="15" t="s">
        <v>209</v>
      </c>
      <c r="P29" s="15"/>
    </row>
    <row r="30" spans="1:16" ht="13.5">
      <c r="A30" s="8" t="s">
        <v>119</v>
      </c>
      <c r="B30" s="8">
        <v>0.3</v>
      </c>
      <c r="D30">
        <v>0.44</v>
      </c>
      <c r="E30" t="s">
        <v>189</v>
      </c>
      <c r="I30">
        <v>0.4</v>
      </c>
      <c r="M30" s="26">
        <v>0.3</v>
      </c>
      <c r="N30" s="15"/>
      <c r="O30" s="15" t="s">
        <v>209</v>
      </c>
      <c r="P30" s="15"/>
    </row>
    <row r="31" spans="1:16" ht="13.5">
      <c r="A31" s="8" t="s">
        <v>120</v>
      </c>
      <c r="B31" s="10" t="s">
        <v>190</v>
      </c>
      <c r="E31" t="s">
        <v>201</v>
      </c>
      <c r="I31" t="s">
        <v>201</v>
      </c>
      <c r="M31" s="26">
        <v>3</v>
      </c>
      <c r="N31" s="15"/>
      <c r="O31" s="15" t="s">
        <v>80</v>
      </c>
      <c r="P31" s="15"/>
    </row>
    <row r="32" spans="1:16" ht="13.5">
      <c r="A32" s="8" t="s">
        <v>121</v>
      </c>
      <c r="B32" s="10">
        <v>118</v>
      </c>
      <c r="C32">
        <v>160</v>
      </c>
      <c r="D32">
        <v>169</v>
      </c>
      <c r="E32">
        <v>174</v>
      </c>
      <c r="I32">
        <v>161</v>
      </c>
      <c r="M32" s="26">
        <v>150</v>
      </c>
      <c r="N32" s="26">
        <v>143</v>
      </c>
      <c r="O32" s="26">
        <v>136</v>
      </c>
      <c r="P32" s="26">
        <v>180</v>
      </c>
    </row>
    <row r="33" spans="1:16" ht="13.5">
      <c r="A33" s="8" t="s">
        <v>122</v>
      </c>
      <c r="B33" s="10"/>
      <c r="G33">
        <v>4.6</v>
      </c>
      <c r="I33">
        <v>4.6</v>
      </c>
      <c r="M33" s="15"/>
      <c r="N33" s="15"/>
      <c r="O33" s="15"/>
      <c r="P33" s="15"/>
    </row>
    <row r="34" spans="1:16" ht="13.5">
      <c r="A34" s="8" t="s">
        <v>123</v>
      </c>
      <c r="B34" s="10">
        <v>25</v>
      </c>
      <c r="C34">
        <v>29</v>
      </c>
      <c r="E34">
        <v>23</v>
      </c>
      <c r="G34">
        <v>17</v>
      </c>
      <c r="I34">
        <v>27</v>
      </c>
      <c r="M34" s="26">
        <v>30</v>
      </c>
      <c r="N34" s="26">
        <v>24</v>
      </c>
      <c r="O34" s="15"/>
      <c r="P34" s="15"/>
    </row>
    <row r="35" spans="1:16" ht="13.5">
      <c r="A35" s="8" t="s">
        <v>124</v>
      </c>
      <c r="B35" s="10"/>
      <c r="M35" s="15"/>
      <c r="N35" s="15"/>
      <c r="O35" s="15"/>
      <c r="P35" s="15"/>
    </row>
    <row r="36" spans="1:16" ht="13.5">
      <c r="A36" s="8" t="s">
        <v>125</v>
      </c>
      <c r="B36" s="10"/>
      <c r="M36" s="15"/>
      <c r="N36" s="15"/>
      <c r="O36" s="15"/>
      <c r="P36" s="15"/>
    </row>
    <row r="37" spans="1:16" ht="13.5">
      <c r="A37" s="8" t="s">
        <v>167</v>
      </c>
      <c r="B37" s="8"/>
      <c r="C37" s="8"/>
      <c r="D37" s="8"/>
      <c r="E37" s="9"/>
      <c r="M37" s="15"/>
      <c r="N37" s="15"/>
      <c r="O37" s="15"/>
      <c r="P37" s="15"/>
    </row>
    <row r="38" spans="1:16" ht="13.5">
      <c r="A38" s="8" t="s">
        <v>168</v>
      </c>
      <c r="B38" s="8"/>
      <c r="C38" s="8"/>
      <c r="D38" s="8"/>
      <c r="E38" s="9"/>
      <c r="M38" s="15"/>
      <c r="N38" s="15"/>
      <c r="O38" s="15"/>
      <c r="P38" s="15"/>
    </row>
    <row r="39" spans="1:16" ht="13.5">
      <c r="A39" s="8" t="s">
        <v>126</v>
      </c>
      <c r="B39" s="8"/>
      <c r="C39" s="8"/>
      <c r="D39" s="8"/>
      <c r="E39" s="9"/>
      <c r="M39" s="15"/>
      <c r="N39" s="15"/>
      <c r="O39" s="15"/>
      <c r="P39" s="15"/>
    </row>
    <row r="40" spans="1:16" ht="13.5">
      <c r="A40" s="8" t="s">
        <v>127</v>
      </c>
      <c r="B40" s="8"/>
      <c r="C40" s="8"/>
      <c r="D40" s="8"/>
      <c r="E40" s="9" t="s">
        <v>202</v>
      </c>
      <c r="I40" t="s">
        <v>202</v>
      </c>
      <c r="M40" s="15"/>
      <c r="N40" s="15"/>
      <c r="O40" s="15"/>
      <c r="P40" s="15"/>
    </row>
    <row r="41" spans="1:16" ht="13.5">
      <c r="A41" s="8" t="s">
        <v>128</v>
      </c>
      <c r="B41" s="8"/>
      <c r="C41" s="8"/>
      <c r="D41" s="8"/>
      <c r="E41" s="9"/>
      <c r="M41" s="15"/>
      <c r="N41" s="15"/>
      <c r="O41" s="15"/>
      <c r="P41" s="15"/>
    </row>
    <row r="42" spans="1:16" ht="13.5">
      <c r="A42" s="8" t="s">
        <v>129</v>
      </c>
      <c r="B42" s="8"/>
      <c r="C42" s="8"/>
      <c r="D42" s="8"/>
      <c r="E42" s="9"/>
      <c r="M42" s="15"/>
      <c r="N42" s="15"/>
      <c r="O42" s="15"/>
      <c r="P42" s="15"/>
    </row>
    <row r="43" spans="1:16" ht="13.5">
      <c r="A43" s="8" t="s">
        <v>164</v>
      </c>
      <c r="B43" s="8"/>
      <c r="C43" s="8"/>
      <c r="D43" s="8"/>
      <c r="E43" s="9"/>
      <c r="M43" s="15"/>
      <c r="N43" s="15"/>
      <c r="O43" s="15"/>
      <c r="P43" s="15"/>
    </row>
    <row r="44" spans="1:16" ht="13.5">
      <c r="A44" s="8" t="s">
        <v>130</v>
      </c>
      <c r="B44" s="8" t="s">
        <v>203</v>
      </c>
      <c r="C44" s="8"/>
      <c r="D44" s="8"/>
      <c r="E44" s="9" t="s">
        <v>204</v>
      </c>
      <c r="I44" t="s">
        <v>204</v>
      </c>
      <c r="M44" s="15" t="s">
        <v>191</v>
      </c>
      <c r="N44" s="15"/>
      <c r="O44" s="15" t="s">
        <v>191</v>
      </c>
      <c r="P44" s="15"/>
    </row>
    <row r="45" spans="1:16" ht="13.5">
      <c r="A45" s="8" t="s">
        <v>131</v>
      </c>
      <c r="B45" s="8"/>
      <c r="C45" s="8"/>
      <c r="D45" s="8"/>
      <c r="E45" s="9"/>
      <c r="M45" s="15"/>
      <c r="N45" s="15"/>
      <c r="O45" s="15"/>
      <c r="P45" s="15"/>
    </row>
    <row r="46" spans="1:16" ht="13.5">
      <c r="A46" s="8" t="s">
        <v>132</v>
      </c>
      <c r="B46" s="10">
        <v>0.05</v>
      </c>
      <c r="C46" s="10" t="s">
        <v>205</v>
      </c>
      <c r="D46" s="10">
        <v>0.046</v>
      </c>
      <c r="E46" s="9" t="s">
        <v>206</v>
      </c>
      <c r="I46">
        <v>0.05</v>
      </c>
      <c r="M46" s="26">
        <v>0.08</v>
      </c>
      <c r="N46" s="15" t="s">
        <v>11</v>
      </c>
      <c r="O46" s="15" t="s">
        <v>192</v>
      </c>
      <c r="P46" s="15"/>
    </row>
    <row r="47" spans="1:16" ht="13.5">
      <c r="A47" s="8" t="s">
        <v>133</v>
      </c>
      <c r="B47" s="10">
        <v>30</v>
      </c>
      <c r="C47" s="10">
        <v>26</v>
      </c>
      <c r="D47" s="10">
        <v>30</v>
      </c>
      <c r="E47" s="9">
        <v>23</v>
      </c>
      <c r="F47" s="10">
        <v>24</v>
      </c>
      <c r="I47">
        <v>27</v>
      </c>
      <c r="J47">
        <v>41</v>
      </c>
      <c r="K47">
        <v>48.2</v>
      </c>
      <c r="L47">
        <v>44</v>
      </c>
      <c r="M47" s="26">
        <v>20</v>
      </c>
      <c r="N47" s="26">
        <v>22</v>
      </c>
      <c r="O47" s="26">
        <v>21</v>
      </c>
      <c r="P47" s="26">
        <v>28</v>
      </c>
    </row>
    <row r="48" spans="1:16" ht="13.5">
      <c r="A48" s="8" t="s">
        <v>134</v>
      </c>
      <c r="B48" s="10">
        <v>1</v>
      </c>
      <c r="C48" s="10">
        <v>1.56</v>
      </c>
      <c r="D48" s="10">
        <v>1.25</v>
      </c>
      <c r="E48" s="9">
        <v>1.35</v>
      </c>
      <c r="F48" s="10">
        <v>1.25</v>
      </c>
      <c r="G48" s="10">
        <v>1.1</v>
      </c>
      <c r="I48" s="10">
        <v>1.33</v>
      </c>
      <c r="J48" s="10">
        <v>1.28</v>
      </c>
      <c r="K48" s="10">
        <v>1.34</v>
      </c>
      <c r="L48" s="10">
        <v>1.3</v>
      </c>
      <c r="M48" s="26">
        <v>1.11</v>
      </c>
      <c r="N48" s="26">
        <v>1.54</v>
      </c>
      <c r="O48" s="26">
        <v>1.13</v>
      </c>
      <c r="P48" s="26">
        <v>1.27</v>
      </c>
    </row>
    <row r="49" spans="1:16" ht="13.5">
      <c r="A49" s="8" t="s">
        <v>135</v>
      </c>
      <c r="B49" s="10">
        <v>2.6</v>
      </c>
      <c r="C49" s="10">
        <v>4</v>
      </c>
      <c r="D49" s="10">
        <v>3.42</v>
      </c>
      <c r="E49" s="9">
        <v>3.36</v>
      </c>
      <c r="F49" s="10">
        <v>3.3</v>
      </c>
      <c r="I49">
        <v>3.51</v>
      </c>
      <c r="J49">
        <v>3.15</v>
      </c>
      <c r="K49">
        <v>3.26</v>
      </c>
      <c r="L49">
        <v>3.25</v>
      </c>
      <c r="M49" s="26">
        <v>2.77</v>
      </c>
      <c r="N49" s="26">
        <v>3.78</v>
      </c>
      <c r="O49" s="26">
        <v>2.98</v>
      </c>
      <c r="P49" s="26">
        <v>3</v>
      </c>
    </row>
    <row r="50" spans="1:16" ht="13.5">
      <c r="A50" s="8" t="s">
        <v>136</v>
      </c>
      <c r="B50" s="10"/>
      <c r="C50" s="10"/>
      <c r="D50" s="10"/>
      <c r="E50" s="9"/>
      <c r="J50">
        <v>0.456</v>
      </c>
      <c r="K50">
        <v>0.509</v>
      </c>
      <c r="L50">
        <v>0.464</v>
      </c>
      <c r="M50" s="15"/>
      <c r="N50" s="15"/>
      <c r="O50" s="15"/>
      <c r="P50" s="15"/>
    </row>
    <row r="51" spans="1:16" ht="13.5">
      <c r="A51" s="8" t="s">
        <v>137</v>
      </c>
      <c r="B51" s="10">
        <v>1.73</v>
      </c>
      <c r="C51" s="10">
        <v>2</v>
      </c>
      <c r="D51" s="10">
        <v>1.9</v>
      </c>
      <c r="E51" s="9">
        <v>1.7</v>
      </c>
      <c r="F51" s="10">
        <v>1.9</v>
      </c>
      <c r="I51">
        <v>1.88</v>
      </c>
      <c r="J51">
        <v>1.99</v>
      </c>
      <c r="K51">
        <v>2.21</v>
      </c>
      <c r="L51">
        <v>2</v>
      </c>
      <c r="M51" s="26">
        <v>2.1</v>
      </c>
      <c r="N51" s="26">
        <v>2.32</v>
      </c>
      <c r="O51" s="26">
        <v>1.97</v>
      </c>
      <c r="P51" s="26">
        <v>2</v>
      </c>
    </row>
    <row r="52" spans="1:16" ht="13.5">
      <c r="A52" s="8" t="s">
        <v>138</v>
      </c>
      <c r="B52" s="10">
        <v>0.57</v>
      </c>
      <c r="C52" s="10">
        <v>0.66</v>
      </c>
      <c r="D52" s="10">
        <v>0.62</v>
      </c>
      <c r="E52" s="9">
        <v>0.655</v>
      </c>
      <c r="F52" s="10">
        <v>0.61</v>
      </c>
      <c r="G52" s="10">
        <v>0.63</v>
      </c>
      <c r="I52" s="10">
        <v>0.63</v>
      </c>
      <c r="J52" s="10">
        <v>0.586</v>
      </c>
      <c r="K52" s="10">
        <v>0.708</v>
      </c>
      <c r="L52" s="10">
        <v>0.584</v>
      </c>
      <c r="M52" s="26">
        <v>0.627</v>
      </c>
      <c r="N52" s="26">
        <v>0.68</v>
      </c>
      <c r="O52" s="26">
        <v>0.631</v>
      </c>
      <c r="P52" s="26">
        <v>0.65</v>
      </c>
    </row>
    <row r="53" spans="1:16" ht="13.5">
      <c r="A53" s="8" t="s">
        <v>139</v>
      </c>
      <c r="B53" s="10">
        <v>0.87</v>
      </c>
      <c r="C53" s="10">
        <v>1.03</v>
      </c>
      <c r="D53" s="10">
        <v>0.926</v>
      </c>
      <c r="E53" s="9">
        <v>0.858</v>
      </c>
      <c r="F53" s="10">
        <v>0.8</v>
      </c>
      <c r="G53" s="10">
        <v>1</v>
      </c>
      <c r="I53" s="10">
        <v>0.93</v>
      </c>
      <c r="J53" s="10">
        <v>0.894</v>
      </c>
      <c r="K53" s="10">
        <v>0.988</v>
      </c>
      <c r="L53" s="10">
        <v>0.928</v>
      </c>
      <c r="M53" s="26">
        <v>0.779</v>
      </c>
      <c r="N53" s="26">
        <v>0.87</v>
      </c>
      <c r="O53" s="26">
        <v>0.754</v>
      </c>
      <c r="P53" s="26">
        <v>0.82</v>
      </c>
    </row>
    <row r="54" spans="1:16" ht="13.5">
      <c r="A54" s="8" t="s">
        <v>140</v>
      </c>
      <c r="B54" s="10">
        <v>1.1</v>
      </c>
      <c r="C54" s="10"/>
      <c r="D54" s="10"/>
      <c r="E54" s="9"/>
      <c r="I54">
        <v>1.1</v>
      </c>
      <c r="J54">
        <v>0.692</v>
      </c>
      <c r="K54">
        <v>0.915</v>
      </c>
      <c r="L54">
        <v>0.702</v>
      </c>
      <c r="M54" s="26">
        <v>1</v>
      </c>
      <c r="N54" s="15"/>
      <c r="O54" s="15"/>
      <c r="P54" s="26">
        <v>0.57</v>
      </c>
    </row>
    <row r="55" spans="1:16" ht="13.5">
      <c r="A55" s="8" t="s">
        <v>141</v>
      </c>
      <c r="B55" s="10">
        <v>0.21</v>
      </c>
      <c r="C55" s="10">
        <v>0.144</v>
      </c>
      <c r="D55" s="10">
        <v>0.132</v>
      </c>
      <c r="E55" s="9">
        <v>0.145</v>
      </c>
      <c r="I55">
        <v>0.147</v>
      </c>
      <c r="J55">
        <v>0.129</v>
      </c>
      <c r="K55">
        <v>0.168</v>
      </c>
      <c r="L55">
        <v>0.129</v>
      </c>
      <c r="M55" s="26">
        <v>0.21</v>
      </c>
      <c r="N55" s="26">
        <v>0.174</v>
      </c>
      <c r="O55" s="26">
        <v>0.17</v>
      </c>
      <c r="P55" s="26">
        <v>0.14</v>
      </c>
    </row>
    <row r="56" spans="1:16" ht="13.5">
      <c r="A56" s="8" t="s">
        <v>142</v>
      </c>
      <c r="B56" s="10">
        <v>1.1</v>
      </c>
      <c r="C56" s="10">
        <v>1.21</v>
      </c>
      <c r="D56" s="10"/>
      <c r="E56" s="9">
        <v>0.99</v>
      </c>
      <c r="F56" s="10">
        <v>0.7</v>
      </c>
      <c r="I56">
        <v>1.05</v>
      </c>
      <c r="J56">
        <v>0.87</v>
      </c>
      <c r="K56">
        <v>1.16</v>
      </c>
      <c r="L56">
        <v>0.873</v>
      </c>
      <c r="M56" s="26">
        <v>1.08</v>
      </c>
      <c r="N56" s="26">
        <v>1.28</v>
      </c>
      <c r="O56" s="26">
        <v>1.13</v>
      </c>
      <c r="P56" s="26">
        <v>1</v>
      </c>
    </row>
    <row r="57" spans="1:16" ht="13.5">
      <c r="A57" s="8" t="s">
        <v>143</v>
      </c>
      <c r="B57" s="10"/>
      <c r="C57" s="10"/>
      <c r="D57" s="10"/>
      <c r="E57" s="9">
        <v>0.23</v>
      </c>
      <c r="I57">
        <v>0.23</v>
      </c>
      <c r="J57">
        <v>0.194</v>
      </c>
      <c r="K57">
        <v>0.253</v>
      </c>
      <c r="L57">
        <v>0.194</v>
      </c>
      <c r="M57" s="15"/>
      <c r="N57" s="26">
        <v>0.243</v>
      </c>
      <c r="O57" s="26">
        <v>0.26</v>
      </c>
      <c r="P57" s="15"/>
    </row>
    <row r="58" spans="1:16" ht="13.5">
      <c r="A58" s="8" t="s">
        <v>144</v>
      </c>
      <c r="B58" s="10"/>
      <c r="C58" s="10"/>
      <c r="D58" s="10"/>
      <c r="J58">
        <v>0.559</v>
      </c>
      <c r="K58">
        <v>0.76</v>
      </c>
      <c r="L58">
        <v>0.57</v>
      </c>
      <c r="M58" s="15"/>
      <c r="N58" s="15"/>
      <c r="O58" s="15"/>
      <c r="P58" s="15"/>
    </row>
    <row r="59" spans="1:16" ht="13.5">
      <c r="A59" s="8" t="s">
        <v>145</v>
      </c>
      <c r="B59" s="10"/>
      <c r="C59" s="10"/>
      <c r="D59" s="10"/>
      <c r="E59" s="9">
        <v>0.12</v>
      </c>
      <c r="I59">
        <v>0.12</v>
      </c>
      <c r="J59">
        <v>0.0827</v>
      </c>
      <c r="K59">
        <v>0.113</v>
      </c>
      <c r="L59">
        <v>0.0847</v>
      </c>
      <c r="M59" s="26">
        <v>0.1</v>
      </c>
      <c r="N59" s="15"/>
      <c r="O59" s="15"/>
      <c r="P59" s="15"/>
    </row>
    <row r="60" spans="1:16" ht="13.5">
      <c r="A60" s="8" t="s">
        <v>146</v>
      </c>
      <c r="B60" s="10">
        <v>0.595</v>
      </c>
      <c r="C60" s="10">
        <v>0.61</v>
      </c>
      <c r="D60" s="10">
        <v>0.562</v>
      </c>
      <c r="E60" s="9">
        <v>0.647</v>
      </c>
      <c r="F60" s="10">
        <v>0.59</v>
      </c>
      <c r="I60">
        <v>0.6</v>
      </c>
      <c r="J60">
        <v>0.547</v>
      </c>
      <c r="K60">
        <v>0.747</v>
      </c>
      <c r="L60">
        <v>0.589</v>
      </c>
      <c r="M60" s="26">
        <v>0.71</v>
      </c>
      <c r="N60" s="26">
        <v>0.79</v>
      </c>
      <c r="O60" s="26">
        <v>0.76</v>
      </c>
      <c r="P60" s="26">
        <v>0.73</v>
      </c>
    </row>
    <row r="61" spans="1:16" ht="13.5">
      <c r="A61" s="8" t="s">
        <v>147</v>
      </c>
      <c r="B61" s="10">
        <v>0.089</v>
      </c>
      <c r="C61" s="10">
        <v>0.086</v>
      </c>
      <c r="D61" s="10">
        <v>0.084</v>
      </c>
      <c r="E61" s="9">
        <v>0.094</v>
      </c>
      <c r="F61" s="10">
        <v>0.089</v>
      </c>
      <c r="I61">
        <v>0.087</v>
      </c>
      <c r="J61">
        <v>0.0813</v>
      </c>
      <c r="K61">
        <v>0.111</v>
      </c>
      <c r="L61">
        <v>0.0844</v>
      </c>
      <c r="M61" s="26">
        <v>0.1</v>
      </c>
      <c r="N61" s="26">
        <v>0.121</v>
      </c>
      <c r="O61" s="26">
        <v>0.115</v>
      </c>
      <c r="P61" s="26">
        <v>0.117</v>
      </c>
    </row>
    <row r="62" spans="1:16" ht="13.5">
      <c r="A62" s="8" t="s">
        <v>148</v>
      </c>
      <c r="B62" s="10">
        <v>0.54</v>
      </c>
      <c r="C62" s="10">
        <v>0.47</v>
      </c>
      <c r="D62" s="10">
        <v>0.46</v>
      </c>
      <c r="E62" s="9">
        <v>0.47</v>
      </c>
      <c r="F62" s="10">
        <v>0.39</v>
      </c>
      <c r="G62" s="10">
        <v>0.24</v>
      </c>
      <c r="I62" s="10">
        <v>0.47</v>
      </c>
      <c r="J62" s="10">
        <v>0.454</v>
      </c>
      <c r="K62" s="10">
        <v>0.408</v>
      </c>
      <c r="L62" s="10">
        <v>0.4</v>
      </c>
      <c r="M62" s="26">
        <v>0.92</v>
      </c>
      <c r="N62" s="26">
        <v>0.73</v>
      </c>
      <c r="O62" s="26">
        <v>0.44</v>
      </c>
      <c r="P62" s="26">
        <v>0.45</v>
      </c>
    </row>
    <row r="63" spans="1:16" ht="13.5">
      <c r="A63" s="8" t="s">
        <v>149</v>
      </c>
      <c r="B63" s="10">
        <v>0.07</v>
      </c>
      <c r="C63" s="10">
        <v>0.061</v>
      </c>
      <c r="D63" s="10">
        <v>0.057</v>
      </c>
      <c r="E63" s="9">
        <v>0.055</v>
      </c>
      <c r="G63" s="10">
        <v>0.1</v>
      </c>
      <c r="I63">
        <v>0.06</v>
      </c>
      <c r="M63" s="15" t="s">
        <v>192</v>
      </c>
      <c r="N63" s="26">
        <v>0.038</v>
      </c>
      <c r="O63" s="15"/>
      <c r="P63" s="26">
        <v>0.034</v>
      </c>
    </row>
    <row r="64" spans="1:16" ht="13.5">
      <c r="A64" s="8" t="s">
        <v>150</v>
      </c>
      <c r="B64" s="10">
        <v>0.3</v>
      </c>
      <c r="C64" s="10"/>
      <c r="D64" s="10"/>
      <c r="E64" s="9" t="s">
        <v>193</v>
      </c>
      <c r="G64">
        <v>0.47</v>
      </c>
      <c r="I64">
        <v>0.36</v>
      </c>
      <c r="M64" s="15"/>
      <c r="N64" s="15"/>
      <c r="O64" s="15"/>
      <c r="P64" s="15"/>
    </row>
    <row r="65" spans="1:16" ht="13.5">
      <c r="A65" s="8" t="s">
        <v>151</v>
      </c>
      <c r="B65" s="8"/>
      <c r="C65" s="8"/>
      <c r="D65" s="8"/>
      <c r="E65" s="9"/>
      <c r="M65" s="15"/>
      <c r="N65" s="15"/>
      <c r="O65" s="15"/>
      <c r="P65" s="15"/>
    </row>
    <row r="66" spans="1:16" ht="13.5">
      <c r="A66" s="8" t="s">
        <v>152</v>
      </c>
      <c r="B66" s="8"/>
      <c r="C66" s="8"/>
      <c r="D66" s="8"/>
      <c r="E66" s="9"/>
      <c r="M66" s="15"/>
      <c r="N66" s="15"/>
      <c r="O66" s="15"/>
      <c r="P66" s="15"/>
    </row>
    <row r="67" spans="1:16" ht="13.5">
      <c r="A67" s="8" t="s">
        <v>153</v>
      </c>
      <c r="B67" s="8">
        <v>8.5</v>
      </c>
      <c r="C67" s="8">
        <v>5.7</v>
      </c>
      <c r="D67" s="8">
        <v>3.9</v>
      </c>
      <c r="E67" s="9">
        <v>5.9</v>
      </c>
      <c r="F67" s="8">
        <v>4.3</v>
      </c>
      <c r="I67">
        <v>5.3</v>
      </c>
      <c r="M67" s="26">
        <v>10</v>
      </c>
      <c r="N67" s="26">
        <v>6.4</v>
      </c>
      <c r="O67" s="26">
        <v>5.6</v>
      </c>
      <c r="P67" s="26">
        <v>5.7</v>
      </c>
    </row>
    <row r="68" spans="1:16" ht="13.5">
      <c r="A68" s="8" t="s">
        <v>166</v>
      </c>
      <c r="B68" s="8"/>
      <c r="C68" s="8"/>
      <c r="D68" s="8"/>
      <c r="E68" s="9"/>
      <c r="M68" s="15"/>
      <c r="N68" s="15"/>
      <c r="O68" s="15"/>
      <c r="P68" s="15"/>
    </row>
    <row r="69" spans="1:16" ht="13.5">
      <c r="A69" s="8" t="s">
        <v>154</v>
      </c>
      <c r="B69" s="8">
        <v>6</v>
      </c>
      <c r="C69" s="8">
        <v>1.8</v>
      </c>
      <c r="D69" s="8">
        <v>3</v>
      </c>
      <c r="E69" s="9">
        <v>1.3</v>
      </c>
      <c r="F69" s="8">
        <v>1.4</v>
      </c>
      <c r="I69">
        <v>2.4</v>
      </c>
      <c r="M69" s="26">
        <v>3.1</v>
      </c>
      <c r="N69" s="26">
        <v>1.4</v>
      </c>
      <c r="O69" s="26">
        <v>1.1</v>
      </c>
      <c r="P69" s="26">
        <v>1.3</v>
      </c>
    </row>
    <row r="70" spans="1:16" ht="13.5">
      <c r="A70" s="8" t="s">
        <v>155</v>
      </c>
      <c r="B70" s="10">
        <v>0.22</v>
      </c>
      <c r="C70" s="10">
        <v>0.25</v>
      </c>
      <c r="D70" s="10">
        <v>0.22</v>
      </c>
      <c r="E70" s="9">
        <v>0.21</v>
      </c>
      <c r="F70" s="10">
        <v>0.2</v>
      </c>
      <c r="I70">
        <v>0.22</v>
      </c>
      <c r="J70">
        <v>0.185</v>
      </c>
      <c r="K70">
        <v>0.171</v>
      </c>
      <c r="L70">
        <v>0.191</v>
      </c>
      <c r="M70" s="26">
        <v>0.23</v>
      </c>
      <c r="N70" s="26">
        <v>0.188</v>
      </c>
      <c r="O70" s="26">
        <v>0.2</v>
      </c>
      <c r="P70" s="26">
        <v>0.2</v>
      </c>
    </row>
    <row r="71" spans="1:16" ht="13.5">
      <c r="A71" s="8" t="s">
        <v>156</v>
      </c>
      <c r="B71" s="10">
        <v>0.07</v>
      </c>
      <c r="C71" s="10">
        <v>0.062</v>
      </c>
      <c r="D71" s="10">
        <v>0.043</v>
      </c>
      <c r="E71" s="9">
        <v>0.05</v>
      </c>
      <c r="F71" s="10">
        <v>0.032</v>
      </c>
      <c r="I71">
        <v>0.051</v>
      </c>
      <c r="J71">
        <v>0.053</v>
      </c>
      <c r="K71">
        <v>0.0518</v>
      </c>
      <c r="L71">
        <v>0.0564</v>
      </c>
      <c r="M71" s="26">
        <v>0.066</v>
      </c>
      <c r="N71" s="26">
        <v>0.058</v>
      </c>
      <c r="O71" s="26">
        <v>0.05</v>
      </c>
      <c r="P71" s="26">
        <v>0.04</v>
      </c>
    </row>
    <row r="72" s="29" customFormat="1" ht="12.75">
      <c r="A72" s="28" t="s">
        <v>252</v>
      </c>
    </row>
    <row r="73" spans="1:5" ht="13.5">
      <c r="A73" s="8"/>
      <c r="B73" s="8"/>
      <c r="C73" s="8"/>
      <c r="D73" s="8"/>
      <c r="E73" s="9"/>
    </row>
    <row r="74" spans="1:5" ht="13.5">
      <c r="A74" s="18" t="s">
        <v>86</v>
      </c>
      <c r="B74" s="18"/>
      <c r="C74" s="18"/>
      <c r="D74" s="18"/>
      <c r="E74" s="18"/>
    </row>
    <row r="75" spans="1:5" ht="13.5">
      <c r="A75" s="8" t="s">
        <v>174</v>
      </c>
      <c r="B75" s="10"/>
      <c r="C75" s="10"/>
      <c r="D75" s="10"/>
      <c r="E75" s="9"/>
    </row>
    <row r="76" spans="1:5" ht="13.5">
      <c r="A76" s="8" t="s">
        <v>169</v>
      </c>
      <c r="B76" s="10"/>
      <c r="C76" s="10"/>
      <c r="D76" s="10"/>
      <c r="E76" s="9"/>
    </row>
    <row r="77" spans="1:5" ht="13.5">
      <c r="A77" s="8" t="s">
        <v>170</v>
      </c>
      <c r="B77" s="8"/>
      <c r="C77" s="8"/>
      <c r="D77" s="8"/>
      <c r="E77" s="9"/>
    </row>
    <row r="78" spans="1:5" ht="13.5">
      <c r="A78" s="8" t="s">
        <v>171</v>
      </c>
      <c r="B78" s="8"/>
      <c r="C78" s="8"/>
      <c r="D78" s="8"/>
      <c r="E78" s="9"/>
    </row>
    <row r="79" spans="1:5" ht="13.5">
      <c r="A79" s="8"/>
      <c r="B79" s="8"/>
      <c r="C79" s="8"/>
      <c r="D79" s="8"/>
      <c r="E79" s="9"/>
    </row>
    <row r="80" spans="1:16" ht="13.5">
      <c r="A80" s="8" t="s">
        <v>176</v>
      </c>
      <c r="B80" s="8"/>
      <c r="C80" s="8"/>
      <c r="D80" s="8"/>
      <c r="E80" s="9"/>
      <c r="M80" s="15"/>
      <c r="N80" s="15"/>
      <c r="O80" s="15"/>
      <c r="P80" s="15"/>
    </row>
    <row r="81" spans="1:16" ht="13.5">
      <c r="A81" s="8" t="s">
        <v>172</v>
      </c>
      <c r="B81" s="8" t="s">
        <v>208</v>
      </c>
      <c r="C81" s="8"/>
      <c r="D81" s="8"/>
      <c r="E81" s="9" t="s">
        <v>203</v>
      </c>
      <c r="I81" t="s">
        <v>208</v>
      </c>
      <c r="M81" s="15"/>
      <c r="N81" s="15"/>
      <c r="O81" s="15"/>
      <c r="P81" s="15"/>
    </row>
    <row r="82" spans="1:16" ht="13.5">
      <c r="A82" s="8" t="s">
        <v>175</v>
      </c>
      <c r="B82" s="8" t="s">
        <v>209</v>
      </c>
      <c r="C82" s="8">
        <v>0.12</v>
      </c>
      <c r="D82" s="8"/>
      <c r="E82" s="9" t="s">
        <v>192</v>
      </c>
      <c r="I82">
        <v>0.12</v>
      </c>
      <c r="M82" s="26">
        <v>0.08</v>
      </c>
      <c r="N82" s="15" t="s">
        <v>247</v>
      </c>
      <c r="O82" s="15" t="s">
        <v>209</v>
      </c>
      <c r="P82" s="15"/>
    </row>
    <row r="83" spans="1:16" ht="13.5">
      <c r="A83" s="8" t="s">
        <v>173</v>
      </c>
      <c r="B83" s="8"/>
      <c r="C83" s="8"/>
      <c r="D83" s="8"/>
      <c r="E83" s="9"/>
      <c r="M83" s="15"/>
      <c r="N83" s="15"/>
      <c r="O83" s="15"/>
      <c r="P83" s="15"/>
    </row>
    <row r="84" spans="1:16" ht="13.5">
      <c r="A84" s="8"/>
      <c r="B84" s="8"/>
      <c r="C84" s="8"/>
      <c r="D84" s="8"/>
      <c r="E84" s="9"/>
      <c r="M84" s="15"/>
      <c r="N84" s="15"/>
      <c r="O84" s="15"/>
      <c r="P84" s="15"/>
    </row>
    <row r="85" spans="1:16" ht="13.5">
      <c r="A85" s="8" t="s">
        <v>179</v>
      </c>
      <c r="B85" s="10"/>
      <c r="C85" s="10"/>
      <c r="D85" s="10"/>
      <c r="E85" s="9"/>
      <c r="M85" s="15"/>
      <c r="N85" s="15"/>
      <c r="O85" s="15"/>
      <c r="P85" s="15"/>
    </row>
    <row r="86" spans="1:16" ht="13.5">
      <c r="A86" s="8" t="s">
        <v>180</v>
      </c>
      <c r="B86" s="8" t="s">
        <v>210</v>
      </c>
      <c r="C86" s="8"/>
      <c r="D86" s="8"/>
      <c r="E86" s="9" t="s">
        <v>192</v>
      </c>
      <c r="I86" t="s">
        <v>210</v>
      </c>
      <c r="M86" s="15" t="s">
        <v>206</v>
      </c>
      <c r="N86" s="15"/>
      <c r="O86" s="15"/>
      <c r="P86" s="15"/>
    </row>
    <row r="87" spans="1:5" ht="13.5">
      <c r="A87" s="8" t="s">
        <v>178</v>
      </c>
      <c r="B87" s="8"/>
      <c r="C87" s="8"/>
      <c r="D87" s="8"/>
      <c r="E87" s="9"/>
    </row>
    <row r="88" spans="1:5" ht="13.5">
      <c r="A88" s="8" t="s">
        <v>177</v>
      </c>
      <c r="B88" s="8"/>
      <c r="C88" s="8"/>
      <c r="D88" s="8"/>
      <c r="E88" s="9"/>
    </row>
    <row r="90" ht="13.5">
      <c r="A90" s="8" t="s">
        <v>48</v>
      </c>
    </row>
  </sheetData>
  <printOptions/>
  <pageMargins left="0.75" right="0.75" top="1" bottom="1" header="0.5" footer="0.5"/>
  <pageSetup fitToHeight="2" fitToWidth="1" orientation="landscape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68">
      <selection activeCell="A68" sqref="A1:A16384"/>
    </sheetView>
  </sheetViews>
  <sheetFormatPr defaultColWidth="9.140625" defaultRowHeight="12.75"/>
  <sheetData>
    <row r="1" ht="13.5">
      <c r="A1" s="5" t="s">
        <v>323</v>
      </c>
    </row>
    <row r="2" ht="12.75">
      <c r="A2" s="1"/>
    </row>
    <row r="3" ht="12.75">
      <c r="A3" s="3" t="s">
        <v>103</v>
      </c>
    </row>
    <row r="4" ht="12.75">
      <c r="A4" s="3" t="s">
        <v>104</v>
      </c>
    </row>
    <row r="5" ht="12.75">
      <c r="A5" s="3" t="s">
        <v>251</v>
      </c>
    </row>
    <row r="7" ht="12.75">
      <c r="A7" s="2" t="s">
        <v>162</v>
      </c>
    </row>
    <row r="8" ht="12.75">
      <c r="A8" s="2" t="s">
        <v>157</v>
      </c>
    </row>
    <row r="9" ht="12.75">
      <c r="A9" s="2" t="s">
        <v>158</v>
      </c>
    </row>
    <row r="10" ht="12.75">
      <c r="A10" s="2" t="s">
        <v>105</v>
      </c>
    </row>
    <row r="11" ht="12.75">
      <c r="A11" s="2" t="s">
        <v>106</v>
      </c>
    </row>
    <row r="12" ht="12.75">
      <c r="A12" s="2" t="s">
        <v>108</v>
      </c>
    </row>
    <row r="13" ht="12.75">
      <c r="A13" s="2" t="s">
        <v>107</v>
      </c>
    </row>
    <row r="14" ht="12.75">
      <c r="A14" s="2" t="s">
        <v>159</v>
      </c>
    </row>
    <row r="15" ht="12.75">
      <c r="A15" s="2" t="s">
        <v>160</v>
      </c>
    </row>
    <row r="16" ht="12.75">
      <c r="A16" s="2" t="s">
        <v>161</v>
      </c>
    </row>
    <row r="17" ht="12.75">
      <c r="A17" s="2" t="s">
        <v>181</v>
      </c>
    </row>
    <row r="18" ht="12.75">
      <c r="A18" s="3" t="s">
        <v>109</v>
      </c>
    </row>
    <row r="19" ht="12.75">
      <c r="A19" s="3"/>
    </row>
    <row r="20" ht="12.75">
      <c r="A20" s="2" t="s">
        <v>163</v>
      </c>
    </row>
    <row r="21" ht="12.75">
      <c r="A21" s="2" t="s">
        <v>110</v>
      </c>
    </row>
    <row r="22" ht="12.75">
      <c r="A22" s="2" t="s">
        <v>111</v>
      </c>
    </row>
    <row r="23" ht="12.75">
      <c r="A23" s="2" t="s">
        <v>112</v>
      </c>
    </row>
    <row r="24" ht="12.75">
      <c r="A24" s="2" t="s">
        <v>113</v>
      </c>
    </row>
    <row r="25" ht="12.75">
      <c r="A25" s="2" t="s">
        <v>114</v>
      </c>
    </row>
    <row r="26" ht="12.75">
      <c r="A26" s="2" t="s">
        <v>115</v>
      </c>
    </row>
    <row r="27" ht="12.75">
      <c r="A27" s="2" t="s">
        <v>116</v>
      </c>
    </row>
    <row r="28" ht="12.75">
      <c r="A28" s="2" t="s">
        <v>117</v>
      </c>
    </row>
    <row r="29" ht="12.75">
      <c r="A29" s="2" t="s">
        <v>118</v>
      </c>
    </row>
    <row r="30" ht="12.75">
      <c r="A30" s="2" t="s">
        <v>119</v>
      </c>
    </row>
    <row r="31" ht="12.75">
      <c r="A31" s="2" t="s">
        <v>120</v>
      </c>
    </row>
    <row r="32" ht="12.75">
      <c r="A32" s="2" t="s">
        <v>121</v>
      </c>
    </row>
    <row r="33" ht="12.75">
      <c r="A33" s="2" t="s">
        <v>122</v>
      </c>
    </row>
    <row r="34" ht="12.75">
      <c r="A34" s="2" t="s">
        <v>123</v>
      </c>
    </row>
    <row r="35" ht="12.75">
      <c r="A35" s="2" t="s">
        <v>124</v>
      </c>
    </row>
    <row r="36" ht="12.75">
      <c r="A36" s="2" t="s">
        <v>125</v>
      </c>
    </row>
    <row r="37" ht="12.75">
      <c r="A37" s="2" t="s">
        <v>167</v>
      </c>
    </row>
    <row r="38" ht="12.75">
      <c r="A38" s="2" t="s">
        <v>168</v>
      </c>
    </row>
    <row r="39" ht="12.75">
      <c r="A39" s="2" t="s">
        <v>126</v>
      </c>
    </row>
    <row r="40" ht="12.75">
      <c r="A40" s="2" t="s">
        <v>127</v>
      </c>
    </row>
    <row r="41" ht="12.75">
      <c r="A41" s="2" t="s">
        <v>128</v>
      </c>
    </row>
    <row r="42" ht="12.75">
      <c r="A42" s="2" t="s">
        <v>129</v>
      </c>
    </row>
    <row r="43" ht="12.75">
      <c r="A43" s="2" t="s">
        <v>164</v>
      </c>
    </row>
    <row r="44" ht="12.75">
      <c r="A44" s="2" t="s">
        <v>130</v>
      </c>
    </row>
    <row r="45" ht="12.75">
      <c r="A45" s="2" t="s">
        <v>131</v>
      </c>
    </row>
    <row r="46" ht="12.75">
      <c r="A46" s="2" t="s">
        <v>132</v>
      </c>
    </row>
    <row r="47" ht="12.75">
      <c r="A47" s="2" t="s">
        <v>133</v>
      </c>
    </row>
    <row r="48" ht="12.75">
      <c r="A48" s="2" t="s">
        <v>134</v>
      </c>
    </row>
    <row r="49" ht="12.75">
      <c r="A49" s="2" t="s">
        <v>135</v>
      </c>
    </row>
    <row r="50" ht="12.75">
      <c r="A50" s="2" t="s">
        <v>136</v>
      </c>
    </row>
    <row r="51" ht="12.75">
      <c r="A51" s="2" t="s">
        <v>137</v>
      </c>
    </row>
    <row r="52" ht="12.75">
      <c r="A52" s="2" t="s">
        <v>138</v>
      </c>
    </row>
    <row r="53" ht="12.75">
      <c r="A53" s="2" t="s">
        <v>139</v>
      </c>
    </row>
    <row r="54" ht="12.75">
      <c r="A54" s="2" t="s">
        <v>140</v>
      </c>
    </row>
    <row r="55" ht="12.75">
      <c r="A55" s="2" t="s">
        <v>141</v>
      </c>
    </row>
    <row r="56" ht="12.75">
      <c r="A56" s="2" t="s">
        <v>142</v>
      </c>
    </row>
    <row r="57" ht="12.75">
      <c r="A57" s="2" t="s">
        <v>143</v>
      </c>
    </row>
    <row r="58" ht="12.75">
      <c r="A58" s="2" t="s">
        <v>144</v>
      </c>
    </row>
    <row r="59" ht="12.75">
      <c r="A59" s="2" t="s">
        <v>145</v>
      </c>
    </row>
    <row r="60" ht="12.75">
      <c r="A60" s="2" t="s">
        <v>146</v>
      </c>
    </row>
    <row r="61" ht="12.75">
      <c r="A61" s="2" t="s">
        <v>147</v>
      </c>
    </row>
    <row r="62" ht="12.75">
      <c r="A62" s="2" t="s">
        <v>148</v>
      </c>
    </row>
    <row r="63" ht="12.75">
      <c r="A63" s="2" t="s">
        <v>149</v>
      </c>
    </row>
    <row r="64" ht="12.75">
      <c r="A64" s="2" t="s">
        <v>150</v>
      </c>
    </row>
    <row r="65" ht="12.75">
      <c r="A65" s="2" t="s">
        <v>151</v>
      </c>
    </row>
    <row r="66" ht="12.75">
      <c r="A66" s="2" t="s">
        <v>152</v>
      </c>
    </row>
    <row r="67" ht="12.75">
      <c r="A67" s="2" t="s">
        <v>153</v>
      </c>
    </row>
    <row r="68" ht="12.75">
      <c r="A68" s="2" t="s">
        <v>166</v>
      </c>
    </row>
    <row r="69" ht="12.75">
      <c r="A69" s="2" t="s">
        <v>154</v>
      </c>
    </row>
    <row r="70" ht="12.75">
      <c r="A70" s="2" t="s">
        <v>155</v>
      </c>
    </row>
    <row r="71" ht="12.75">
      <c r="A71" s="2" t="s">
        <v>156</v>
      </c>
    </row>
    <row r="72" ht="12.75">
      <c r="A72" s="28" t="s">
        <v>254</v>
      </c>
    </row>
    <row r="73" ht="12.75">
      <c r="A73" s="3"/>
    </row>
    <row r="74" ht="12.75">
      <c r="A74" s="4" t="s">
        <v>324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ht="12.75">
      <c r="A82" s="2" t="s">
        <v>175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68">
      <selection activeCell="A75" sqref="A75"/>
    </sheetView>
  </sheetViews>
  <sheetFormatPr defaultColWidth="9.140625" defaultRowHeight="12.75"/>
  <sheetData>
    <row r="1" ht="13.5">
      <c r="A1" s="5" t="s">
        <v>325</v>
      </c>
    </row>
    <row r="2" ht="12.75">
      <c r="A2" s="1"/>
    </row>
    <row r="3" ht="12.75">
      <c r="A3" s="3" t="s">
        <v>103</v>
      </c>
    </row>
    <row r="4" ht="12.75">
      <c r="A4" s="3" t="s">
        <v>104</v>
      </c>
    </row>
    <row r="5" ht="12.75">
      <c r="A5" s="3" t="s">
        <v>251</v>
      </c>
    </row>
    <row r="7" ht="12.75">
      <c r="A7" s="2" t="s">
        <v>162</v>
      </c>
    </row>
    <row r="8" ht="12.75">
      <c r="A8" s="2" t="s">
        <v>157</v>
      </c>
    </row>
    <row r="9" ht="12.75">
      <c r="A9" s="2" t="s">
        <v>158</v>
      </c>
    </row>
    <row r="10" ht="12.75">
      <c r="A10" s="2" t="s">
        <v>105</v>
      </c>
    </row>
    <row r="11" ht="12.75">
      <c r="A11" s="2" t="s">
        <v>106</v>
      </c>
    </row>
    <row r="12" ht="12.75">
      <c r="A12" s="2" t="s">
        <v>108</v>
      </c>
    </row>
    <row r="13" ht="12.75">
      <c r="A13" s="2" t="s">
        <v>107</v>
      </c>
    </row>
    <row r="14" ht="12.75">
      <c r="A14" s="2" t="s">
        <v>159</v>
      </c>
    </row>
    <row r="15" ht="12.75">
      <c r="A15" s="2" t="s">
        <v>160</v>
      </c>
    </row>
    <row r="16" ht="12.75">
      <c r="A16" s="2" t="s">
        <v>161</v>
      </c>
    </row>
    <row r="17" ht="12.75">
      <c r="A17" s="2" t="s">
        <v>181</v>
      </c>
    </row>
    <row r="18" ht="12.75">
      <c r="A18" s="3" t="s">
        <v>109</v>
      </c>
    </row>
    <row r="19" ht="12.75">
      <c r="A19" s="3"/>
    </row>
    <row r="20" ht="12.75">
      <c r="A20" s="2" t="s">
        <v>163</v>
      </c>
    </row>
    <row r="21" ht="12.75">
      <c r="A21" s="2" t="s">
        <v>110</v>
      </c>
    </row>
    <row r="22" ht="12.75">
      <c r="A22" s="2" t="s">
        <v>111</v>
      </c>
    </row>
    <row r="23" ht="12.75">
      <c r="A23" s="2" t="s">
        <v>112</v>
      </c>
    </row>
    <row r="24" ht="12.75">
      <c r="A24" s="2" t="s">
        <v>113</v>
      </c>
    </row>
    <row r="25" ht="12.75">
      <c r="A25" s="2" t="s">
        <v>114</v>
      </c>
    </row>
    <row r="26" ht="12.75">
      <c r="A26" s="2" t="s">
        <v>115</v>
      </c>
    </row>
    <row r="27" ht="12.75">
      <c r="A27" s="2" t="s">
        <v>116</v>
      </c>
    </row>
    <row r="28" ht="12.75">
      <c r="A28" s="2" t="s">
        <v>117</v>
      </c>
    </row>
    <row r="29" ht="12.75">
      <c r="A29" s="2" t="s">
        <v>118</v>
      </c>
    </row>
    <row r="30" ht="12.75">
      <c r="A30" s="2" t="s">
        <v>119</v>
      </c>
    </row>
    <row r="31" ht="12.75">
      <c r="A31" s="2" t="s">
        <v>120</v>
      </c>
    </row>
    <row r="32" ht="12.75">
      <c r="A32" s="2" t="s">
        <v>121</v>
      </c>
    </row>
    <row r="33" ht="12.75">
      <c r="A33" s="2" t="s">
        <v>122</v>
      </c>
    </row>
    <row r="34" ht="12.75">
      <c r="A34" s="2" t="s">
        <v>123</v>
      </c>
    </row>
    <row r="35" ht="12.75">
      <c r="A35" s="2" t="s">
        <v>124</v>
      </c>
    </row>
    <row r="36" ht="12.75">
      <c r="A36" s="2" t="s">
        <v>125</v>
      </c>
    </row>
    <row r="37" ht="12.75">
      <c r="A37" s="2" t="s">
        <v>167</v>
      </c>
    </row>
    <row r="38" ht="12.75">
      <c r="A38" s="2" t="s">
        <v>168</v>
      </c>
    </row>
    <row r="39" ht="12.75">
      <c r="A39" s="2" t="s">
        <v>126</v>
      </c>
    </row>
    <row r="40" ht="12.75">
      <c r="A40" s="2" t="s">
        <v>127</v>
      </c>
    </row>
    <row r="41" ht="12.75">
      <c r="A41" s="2" t="s">
        <v>128</v>
      </c>
    </row>
    <row r="42" ht="12.75">
      <c r="A42" s="2" t="s">
        <v>129</v>
      </c>
    </row>
    <row r="43" ht="12.75">
      <c r="A43" s="2" t="s">
        <v>164</v>
      </c>
    </row>
    <row r="44" ht="12.75">
      <c r="A44" s="2" t="s">
        <v>130</v>
      </c>
    </row>
    <row r="45" ht="12.75">
      <c r="A45" s="2" t="s">
        <v>131</v>
      </c>
    </row>
    <row r="46" ht="12.75">
      <c r="A46" s="2" t="s">
        <v>132</v>
      </c>
    </row>
    <row r="47" ht="12.75">
      <c r="A47" s="2" t="s">
        <v>133</v>
      </c>
    </row>
    <row r="48" ht="12.75">
      <c r="A48" s="2" t="s">
        <v>134</v>
      </c>
    </row>
    <row r="49" ht="12.75">
      <c r="A49" s="2" t="s">
        <v>135</v>
      </c>
    </row>
    <row r="50" ht="12.75">
      <c r="A50" s="2" t="s">
        <v>136</v>
      </c>
    </row>
    <row r="51" ht="12.75">
      <c r="A51" s="2" t="s">
        <v>137</v>
      </c>
    </row>
    <row r="52" ht="12.75">
      <c r="A52" s="2" t="s">
        <v>138</v>
      </c>
    </row>
    <row r="53" ht="12.75">
      <c r="A53" s="2" t="s">
        <v>139</v>
      </c>
    </row>
    <row r="54" ht="12.75">
      <c r="A54" s="2" t="s">
        <v>140</v>
      </c>
    </row>
    <row r="55" ht="12.75">
      <c r="A55" s="2" t="s">
        <v>141</v>
      </c>
    </row>
    <row r="56" ht="12.75">
      <c r="A56" s="2" t="s">
        <v>142</v>
      </c>
    </row>
    <row r="57" ht="12.75">
      <c r="A57" s="2" t="s">
        <v>143</v>
      </c>
    </row>
    <row r="58" ht="12.75">
      <c r="A58" s="2" t="s">
        <v>144</v>
      </c>
    </row>
    <row r="59" ht="12.75">
      <c r="A59" s="2" t="s">
        <v>145</v>
      </c>
    </row>
    <row r="60" ht="12.75">
      <c r="A60" s="2" t="s">
        <v>146</v>
      </c>
    </row>
    <row r="61" ht="12.75">
      <c r="A61" s="2" t="s">
        <v>147</v>
      </c>
    </row>
    <row r="62" ht="12.75">
      <c r="A62" s="2" t="s">
        <v>148</v>
      </c>
    </row>
    <row r="63" ht="12.75">
      <c r="A63" s="2" t="s">
        <v>149</v>
      </c>
    </row>
    <row r="64" ht="12.75">
      <c r="A64" s="2" t="s">
        <v>150</v>
      </c>
    </row>
    <row r="65" ht="12.75">
      <c r="A65" s="2" t="s">
        <v>151</v>
      </c>
    </row>
    <row r="66" ht="12.75">
      <c r="A66" s="2" t="s">
        <v>152</v>
      </c>
    </row>
    <row r="67" ht="12.75">
      <c r="A67" s="2" t="s">
        <v>153</v>
      </c>
    </row>
    <row r="68" ht="12.75">
      <c r="A68" s="2" t="s">
        <v>166</v>
      </c>
    </row>
    <row r="69" ht="12.75">
      <c r="A69" s="2" t="s">
        <v>154</v>
      </c>
    </row>
    <row r="70" ht="12.75">
      <c r="A70" s="2" t="s">
        <v>155</v>
      </c>
    </row>
    <row r="71" ht="12.75">
      <c r="A71" s="2" t="s">
        <v>156</v>
      </c>
    </row>
    <row r="72" ht="12.75">
      <c r="A72" s="28" t="s">
        <v>254</v>
      </c>
    </row>
    <row r="73" ht="12.75">
      <c r="A73" s="3"/>
    </row>
    <row r="74" ht="12.75">
      <c r="A74" s="4" t="s">
        <v>326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ht="12.75">
      <c r="A82" s="2" t="s">
        <v>175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A1" sqref="A1:A16384"/>
    </sheetView>
  </sheetViews>
  <sheetFormatPr defaultColWidth="9.140625" defaultRowHeight="12.75"/>
  <cols>
    <col min="2" max="3" width="8.8515625" style="6" customWidth="1"/>
  </cols>
  <sheetData>
    <row r="1" ht="15">
      <c r="A1" s="16" t="s">
        <v>278</v>
      </c>
    </row>
    <row r="2" ht="12.75">
      <c r="A2" s="12"/>
    </row>
    <row r="3" spans="1:3" ht="12.75">
      <c r="A3" s="30" t="s">
        <v>103</v>
      </c>
      <c r="B3" s="6">
        <v>1</v>
      </c>
      <c r="C3" s="6">
        <v>1</v>
      </c>
    </row>
    <row r="4" spans="1:3" ht="12.75">
      <c r="A4" s="30" t="s">
        <v>104</v>
      </c>
      <c r="B4" s="6" t="s">
        <v>277</v>
      </c>
      <c r="C4" s="6" t="s">
        <v>276</v>
      </c>
    </row>
    <row r="5" spans="1:3" ht="12.75">
      <c r="A5" s="30" t="s">
        <v>243</v>
      </c>
      <c r="B5" s="6" t="s">
        <v>82</v>
      </c>
      <c r="C5" s="6" t="s">
        <v>215</v>
      </c>
    </row>
    <row r="6" ht="12.75">
      <c r="A6" s="12"/>
    </row>
    <row r="7" spans="1:2" ht="15">
      <c r="A7" s="12" t="s">
        <v>244</v>
      </c>
      <c r="B7" s="6">
        <v>44.2</v>
      </c>
    </row>
    <row r="8" spans="1:2" ht="15">
      <c r="A8" s="12" t="s">
        <v>245</v>
      </c>
      <c r="B8" s="6">
        <v>0.21</v>
      </c>
    </row>
    <row r="9" spans="1:2" ht="15">
      <c r="A9" s="12" t="s">
        <v>56</v>
      </c>
      <c r="B9" s="6">
        <v>25.2</v>
      </c>
    </row>
    <row r="10" spans="1:2" ht="12.75">
      <c r="A10" s="12" t="s">
        <v>105</v>
      </c>
      <c r="B10" s="6">
        <v>5.94</v>
      </c>
    </row>
    <row r="11" spans="1:2" ht="12.75">
      <c r="A11" s="12" t="s">
        <v>106</v>
      </c>
      <c r="B11" s="6">
        <v>0.09</v>
      </c>
    </row>
    <row r="12" spans="1:2" ht="12.75">
      <c r="A12" s="12" t="s">
        <v>108</v>
      </c>
      <c r="B12" s="6">
        <v>8.17</v>
      </c>
    </row>
    <row r="13" spans="1:2" ht="12.75">
      <c r="A13" s="12" t="s">
        <v>107</v>
      </c>
      <c r="B13" s="6">
        <v>15</v>
      </c>
    </row>
    <row r="14" spans="1:2" ht="15">
      <c r="A14" s="12" t="s">
        <v>57</v>
      </c>
      <c r="B14" s="6">
        <v>0.32</v>
      </c>
    </row>
    <row r="15" spans="1:2" ht="15">
      <c r="A15" s="12" t="s">
        <v>58</v>
      </c>
      <c r="B15" s="6">
        <v>0.04</v>
      </c>
    </row>
    <row r="16" spans="1:2" ht="15">
      <c r="A16" s="12" t="s">
        <v>59</v>
      </c>
      <c r="B16" s="6">
        <v>0.03</v>
      </c>
    </row>
    <row r="17" ht="12.75">
      <c r="A17" s="12" t="s">
        <v>181</v>
      </c>
    </row>
    <row r="18" spans="1:2" ht="12.75">
      <c r="A18" s="12" t="s">
        <v>109</v>
      </c>
      <c r="B18" s="6">
        <v>99.4</v>
      </c>
    </row>
    <row r="19" ht="12.75">
      <c r="A19" s="12"/>
    </row>
    <row r="20" spans="1:3" ht="12.75">
      <c r="A20" s="12" t="s">
        <v>163</v>
      </c>
      <c r="C20" s="6">
        <v>13.1</v>
      </c>
    </row>
    <row r="21" ht="12.75">
      <c r="A21" s="12" t="s">
        <v>110</v>
      </c>
    </row>
    <row r="22" spans="1:2" ht="12.75">
      <c r="A22" s="12" t="s">
        <v>111</v>
      </c>
      <c r="B22" s="6">
        <v>547</v>
      </c>
    </row>
    <row r="23" spans="1:3" ht="12.75">
      <c r="A23" s="12" t="s">
        <v>112</v>
      </c>
      <c r="C23" s="6">
        <v>16.8</v>
      </c>
    </row>
    <row r="24" spans="1:3" ht="12.75">
      <c r="A24" s="12" t="s">
        <v>113</v>
      </c>
      <c r="C24" s="6">
        <v>88</v>
      </c>
    </row>
    <row r="25" ht="12.75">
      <c r="A25" s="12" t="s">
        <v>114</v>
      </c>
    </row>
    <row r="26" ht="12.75">
      <c r="A26" s="12" t="s">
        <v>115</v>
      </c>
    </row>
    <row r="27" ht="12.75">
      <c r="A27" s="12" t="s">
        <v>116</v>
      </c>
    </row>
    <row r="28" ht="12.75">
      <c r="A28" s="12" t="s">
        <v>117</v>
      </c>
    </row>
    <row r="29" ht="12.75">
      <c r="A29" s="12" t="s">
        <v>118</v>
      </c>
    </row>
    <row r="30" ht="12.75">
      <c r="A30" s="12" t="s">
        <v>119</v>
      </c>
    </row>
    <row r="31" ht="12.75">
      <c r="A31" s="12" t="s">
        <v>120</v>
      </c>
    </row>
    <row r="32" spans="1:3" ht="12.75">
      <c r="A32" s="12" t="s">
        <v>121</v>
      </c>
      <c r="C32" s="6">
        <v>1100</v>
      </c>
    </row>
    <row r="33" ht="12.75">
      <c r="A33" s="12" t="s">
        <v>122</v>
      </c>
    </row>
    <row r="34" spans="1:3" ht="12.75">
      <c r="A34" s="12" t="s">
        <v>123</v>
      </c>
      <c r="C34" s="6" t="s">
        <v>203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ht="12.75">
      <c r="A44" s="12" t="s">
        <v>130</v>
      </c>
    </row>
    <row r="45" ht="12.75">
      <c r="A45" s="12" t="s">
        <v>131</v>
      </c>
    </row>
    <row r="46" ht="12.75">
      <c r="A46" s="12" t="s">
        <v>132</v>
      </c>
    </row>
    <row r="47" spans="1:3" ht="12.75">
      <c r="A47" s="12" t="s">
        <v>133</v>
      </c>
      <c r="C47" s="6">
        <v>273</v>
      </c>
    </row>
    <row r="48" spans="1:3" ht="12.75">
      <c r="A48" s="12" t="s">
        <v>134</v>
      </c>
      <c r="C48" s="6">
        <v>1.19</v>
      </c>
    </row>
    <row r="49" spans="1:3" ht="12.75">
      <c r="A49" s="12" t="s">
        <v>135</v>
      </c>
      <c r="C49" s="6">
        <v>3.2</v>
      </c>
    </row>
    <row r="50" ht="12.75">
      <c r="A50" s="12" t="s">
        <v>136</v>
      </c>
    </row>
    <row r="51" spans="1:3" ht="12.75">
      <c r="A51" s="12" t="s">
        <v>137</v>
      </c>
      <c r="C51" s="6">
        <v>1.9</v>
      </c>
    </row>
    <row r="52" spans="1:3" ht="12.75">
      <c r="A52" s="12" t="s">
        <v>138</v>
      </c>
      <c r="C52" s="6">
        <v>0.642</v>
      </c>
    </row>
    <row r="53" spans="1:3" ht="12.75">
      <c r="A53" s="12" t="s">
        <v>139</v>
      </c>
      <c r="C53" s="6">
        <v>0.639</v>
      </c>
    </row>
    <row r="54" ht="12.75">
      <c r="A54" s="12" t="s">
        <v>140</v>
      </c>
    </row>
    <row r="55" spans="1:3" ht="12.75">
      <c r="A55" s="12" t="s">
        <v>141</v>
      </c>
      <c r="C55" s="6">
        <v>0.153</v>
      </c>
    </row>
    <row r="56" ht="12.75">
      <c r="A56" s="12" t="s">
        <v>142</v>
      </c>
    </row>
    <row r="57" ht="12.75">
      <c r="A57" s="12" t="s">
        <v>143</v>
      </c>
    </row>
    <row r="58" ht="12.75">
      <c r="A58" s="12" t="s">
        <v>144</v>
      </c>
    </row>
    <row r="59" ht="12.75">
      <c r="A59" s="12" t="s">
        <v>145</v>
      </c>
    </row>
    <row r="60" spans="1:3" ht="12.75">
      <c r="A60" s="12" t="s">
        <v>146</v>
      </c>
      <c r="C60" s="6">
        <v>0.68</v>
      </c>
    </row>
    <row r="61" spans="1:3" ht="12.75">
      <c r="A61" s="12" t="s">
        <v>147</v>
      </c>
      <c r="C61" s="6">
        <v>0.099</v>
      </c>
    </row>
    <row r="62" spans="1:3" ht="12.75">
      <c r="A62" s="12" t="s">
        <v>148</v>
      </c>
      <c r="C62" s="6">
        <v>0.45</v>
      </c>
    </row>
    <row r="63" spans="1:3" ht="12.75">
      <c r="A63" s="12" t="s">
        <v>149</v>
      </c>
      <c r="C63" s="6">
        <v>0.06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spans="1:3" ht="12.75">
      <c r="A67" s="12" t="s">
        <v>153</v>
      </c>
      <c r="C67" s="6">
        <v>2.6</v>
      </c>
    </row>
    <row r="68" ht="12.75">
      <c r="A68" s="12" t="s">
        <v>166</v>
      </c>
    </row>
    <row r="69" spans="1:3" ht="12.75">
      <c r="A69" s="12" t="s">
        <v>154</v>
      </c>
      <c r="C69" s="6" t="s">
        <v>71</v>
      </c>
    </row>
    <row r="70" spans="1:3" ht="12.75">
      <c r="A70" s="12" t="s">
        <v>155</v>
      </c>
      <c r="C70" s="6">
        <v>0.16</v>
      </c>
    </row>
    <row r="71" spans="1:3" ht="12.75">
      <c r="A71" s="12" t="s">
        <v>156</v>
      </c>
      <c r="C71" s="6">
        <v>0.22</v>
      </c>
    </row>
    <row r="72" ht="12.75">
      <c r="A72" s="28" t="s">
        <v>254</v>
      </c>
    </row>
    <row r="73" ht="12.75">
      <c r="A73" s="4" t="s">
        <v>279</v>
      </c>
    </row>
    <row r="74" ht="12.75">
      <c r="A74" s="2" t="s">
        <v>174</v>
      </c>
    </row>
    <row r="75" ht="12.75">
      <c r="A75" s="2" t="s">
        <v>169</v>
      </c>
    </row>
    <row r="76" ht="12.75">
      <c r="A76" s="2" t="s">
        <v>170</v>
      </c>
    </row>
    <row r="77" ht="12.75">
      <c r="A77" s="2" t="s">
        <v>171</v>
      </c>
    </row>
    <row r="79" ht="12.75">
      <c r="A79" s="2" t="s">
        <v>176</v>
      </c>
    </row>
    <row r="80" ht="12.75">
      <c r="A80" s="2" t="s">
        <v>172</v>
      </c>
    </row>
    <row r="81" ht="12.75">
      <c r="A81" s="2" t="s">
        <v>175</v>
      </c>
    </row>
    <row r="82" ht="12.75">
      <c r="A82" s="2" t="s">
        <v>173</v>
      </c>
    </row>
    <row r="83" ht="12.75">
      <c r="A83" s="2"/>
    </row>
    <row r="84" ht="12.75">
      <c r="A84" s="2" t="s">
        <v>179</v>
      </c>
    </row>
    <row r="85" ht="12.75">
      <c r="A85" s="2" t="s">
        <v>180</v>
      </c>
    </row>
    <row r="86" ht="12.75">
      <c r="A86" s="2" t="s">
        <v>178</v>
      </c>
    </row>
    <row r="87" ht="12.75">
      <c r="A87" s="2" t="s">
        <v>177</v>
      </c>
    </row>
    <row r="89" ht="12.75">
      <c r="A89" s="2" t="s">
        <v>280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68">
      <selection activeCell="A75" sqref="A75"/>
    </sheetView>
  </sheetViews>
  <sheetFormatPr defaultColWidth="9.140625" defaultRowHeight="12.75"/>
  <sheetData>
    <row r="1" ht="13.5">
      <c r="A1" s="5" t="s">
        <v>327</v>
      </c>
    </row>
    <row r="2" ht="12.75">
      <c r="A2" s="1"/>
    </row>
    <row r="3" ht="12.75">
      <c r="A3" s="3" t="s">
        <v>103</v>
      </c>
    </row>
    <row r="4" ht="12.75">
      <c r="A4" s="3" t="s">
        <v>104</v>
      </c>
    </row>
    <row r="5" ht="12.75">
      <c r="A5" s="3" t="s">
        <v>251</v>
      </c>
    </row>
    <row r="7" ht="12.75">
      <c r="A7" s="2" t="s">
        <v>162</v>
      </c>
    </row>
    <row r="8" ht="12.75">
      <c r="A8" s="2" t="s">
        <v>157</v>
      </c>
    </row>
    <row r="9" ht="12.75">
      <c r="A9" s="2" t="s">
        <v>158</v>
      </c>
    </row>
    <row r="10" ht="12.75">
      <c r="A10" s="2" t="s">
        <v>105</v>
      </c>
    </row>
    <row r="11" ht="12.75">
      <c r="A11" s="2" t="s">
        <v>106</v>
      </c>
    </row>
    <row r="12" ht="12.75">
      <c r="A12" s="2" t="s">
        <v>108</v>
      </c>
    </row>
    <row r="13" ht="12.75">
      <c r="A13" s="2" t="s">
        <v>107</v>
      </c>
    </row>
    <row r="14" ht="12.75">
      <c r="A14" s="2" t="s">
        <v>159</v>
      </c>
    </row>
    <row r="15" ht="12.75">
      <c r="A15" s="2" t="s">
        <v>160</v>
      </c>
    </row>
    <row r="16" ht="12.75">
      <c r="A16" s="2" t="s">
        <v>161</v>
      </c>
    </row>
    <row r="17" ht="12.75">
      <c r="A17" s="2" t="s">
        <v>181</v>
      </c>
    </row>
    <row r="18" ht="12.75">
      <c r="A18" s="3" t="s">
        <v>109</v>
      </c>
    </row>
    <row r="19" ht="12.75">
      <c r="A19" s="3"/>
    </row>
    <row r="20" ht="12.75">
      <c r="A20" s="2" t="s">
        <v>163</v>
      </c>
    </row>
    <row r="21" ht="12.75">
      <c r="A21" s="2" t="s">
        <v>110</v>
      </c>
    </row>
    <row r="22" ht="12.75">
      <c r="A22" s="2" t="s">
        <v>111</v>
      </c>
    </row>
    <row r="23" ht="12.75">
      <c r="A23" s="2" t="s">
        <v>112</v>
      </c>
    </row>
    <row r="24" ht="12.75">
      <c r="A24" s="2" t="s">
        <v>113</v>
      </c>
    </row>
    <row r="25" ht="12.75">
      <c r="A25" s="2" t="s">
        <v>114</v>
      </c>
    </row>
    <row r="26" ht="12.75">
      <c r="A26" s="2" t="s">
        <v>115</v>
      </c>
    </row>
    <row r="27" ht="12.75">
      <c r="A27" s="2" t="s">
        <v>116</v>
      </c>
    </row>
    <row r="28" ht="12.75">
      <c r="A28" s="2" t="s">
        <v>117</v>
      </c>
    </row>
    <row r="29" ht="12.75">
      <c r="A29" s="2" t="s">
        <v>118</v>
      </c>
    </row>
    <row r="30" ht="12.75">
      <c r="A30" s="2" t="s">
        <v>119</v>
      </c>
    </row>
    <row r="31" ht="12.75">
      <c r="A31" s="2" t="s">
        <v>120</v>
      </c>
    </row>
    <row r="32" ht="12.75">
      <c r="A32" s="2" t="s">
        <v>121</v>
      </c>
    </row>
    <row r="33" ht="12.75">
      <c r="A33" s="2" t="s">
        <v>122</v>
      </c>
    </row>
    <row r="34" ht="12.75">
      <c r="A34" s="2" t="s">
        <v>123</v>
      </c>
    </row>
    <row r="35" ht="12.75">
      <c r="A35" s="2" t="s">
        <v>124</v>
      </c>
    </row>
    <row r="36" ht="12.75">
      <c r="A36" s="2" t="s">
        <v>125</v>
      </c>
    </row>
    <row r="37" ht="12.75">
      <c r="A37" s="2" t="s">
        <v>167</v>
      </c>
    </row>
    <row r="38" ht="12.75">
      <c r="A38" s="2" t="s">
        <v>168</v>
      </c>
    </row>
    <row r="39" ht="12.75">
      <c r="A39" s="2" t="s">
        <v>126</v>
      </c>
    </row>
    <row r="40" ht="12.75">
      <c r="A40" s="2" t="s">
        <v>127</v>
      </c>
    </row>
    <row r="41" ht="12.75">
      <c r="A41" s="2" t="s">
        <v>128</v>
      </c>
    </row>
    <row r="42" ht="12.75">
      <c r="A42" s="2" t="s">
        <v>129</v>
      </c>
    </row>
    <row r="43" ht="12.75">
      <c r="A43" s="2" t="s">
        <v>164</v>
      </c>
    </row>
    <row r="44" ht="12.75">
      <c r="A44" s="2" t="s">
        <v>130</v>
      </c>
    </row>
    <row r="45" ht="12.75">
      <c r="A45" s="2" t="s">
        <v>131</v>
      </c>
    </row>
    <row r="46" ht="12.75">
      <c r="A46" s="2" t="s">
        <v>132</v>
      </c>
    </row>
    <row r="47" ht="12.75">
      <c r="A47" s="2" t="s">
        <v>133</v>
      </c>
    </row>
    <row r="48" ht="12.75">
      <c r="A48" s="2" t="s">
        <v>134</v>
      </c>
    </row>
    <row r="49" ht="12.75">
      <c r="A49" s="2" t="s">
        <v>135</v>
      </c>
    </row>
    <row r="50" ht="12.75">
      <c r="A50" s="2" t="s">
        <v>136</v>
      </c>
    </row>
    <row r="51" ht="12.75">
      <c r="A51" s="2" t="s">
        <v>137</v>
      </c>
    </row>
    <row r="52" ht="12.75">
      <c r="A52" s="2" t="s">
        <v>138</v>
      </c>
    </row>
    <row r="53" ht="12.75">
      <c r="A53" s="2" t="s">
        <v>139</v>
      </c>
    </row>
    <row r="54" ht="12.75">
      <c r="A54" s="2" t="s">
        <v>140</v>
      </c>
    </row>
    <row r="55" ht="12.75">
      <c r="A55" s="2" t="s">
        <v>141</v>
      </c>
    </row>
    <row r="56" ht="12.75">
      <c r="A56" s="2" t="s">
        <v>142</v>
      </c>
    </row>
    <row r="57" ht="12.75">
      <c r="A57" s="2" t="s">
        <v>143</v>
      </c>
    </row>
    <row r="58" ht="12.75">
      <c r="A58" s="2" t="s">
        <v>144</v>
      </c>
    </row>
    <row r="59" ht="12.75">
      <c r="A59" s="2" t="s">
        <v>145</v>
      </c>
    </row>
    <row r="60" ht="12.75">
      <c r="A60" s="2" t="s">
        <v>146</v>
      </c>
    </row>
    <row r="61" ht="12.75">
      <c r="A61" s="2" t="s">
        <v>147</v>
      </c>
    </row>
    <row r="62" ht="12.75">
      <c r="A62" s="2" t="s">
        <v>148</v>
      </c>
    </row>
    <row r="63" ht="12.75">
      <c r="A63" s="2" t="s">
        <v>149</v>
      </c>
    </row>
    <row r="64" ht="12.75">
      <c r="A64" s="2" t="s">
        <v>150</v>
      </c>
    </row>
    <row r="65" ht="12.75">
      <c r="A65" s="2" t="s">
        <v>151</v>
      </c>
    </row>
    <row r="66" ht="12.75">
      <c r="A66" s="2" t="s">
        <v>152</v>
      </c>
    </row>
    <row r="67" ht="12.75">
      <c r="A67" s="2" t="s">
        <v>153</v>
      </c>
    </row>
    <row r="68" ht="12.75">
      <c r="A68" s="2" t="s">
        <v>166</v>
      </c>
    </row>
    <row r="69" ht="12.75">
      <c r="A69" s="2" t="s">
        <v>154</v>
      </c>
    </row>
    <row r="70" ht="12.75">
      <c r="A70" s="2" t="s">
        <v>155</v>
      </c>
    </row>
    <row r="71" ht="12.75">
      <c r="A71" s="2" t="s">
        <v>156</v>
      </c>
    </row>
    <row r="72" ht="12.75">
      <c r="A72" s="28" t="s">
        <v>254</v>
      </c>
    </row>
    <row r="73" ht="12.75">
      <c r="A73" s="3"/>
    </row>
    <row r="74" ht="12.75">
      <c r="A74" s="4" t="s">
        <v>328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ht="12.75">
      <c r="A82" s="2" t="s">
        <v>175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68">
      <selection activeCell="A75" sqref="A75"/>
    </sheetView>
  </sheetViews>
  <sheetFormatPr defaultColWidth="9.140625" defaultRowHeight="12.75"/>
  <sheetData>
    <row r="1" ht="13.5">
      <c r="A1" s="5" t="s">
        <v>329</v>
      </c>
    </row>
    <row r="2" ht="12.75">
      <c r="A2" s="1"/>
    </row>
    <row r="3" ht="12.75">
      <c r="A3" s="3" t="s">
        <v>103</v>
      </c>
    </row>
    <row r="4" ht="12.75">
      <c r="A4" s="3" t="s">
        <v>104</v>
      </c>
    </row>
    <row r="5" ht="12.75">
      <c r="A5" s="3" t="s">
        <v>251</v>
      </c>
    </row>
    <row r="7" ht="12.75">
      <c r="A7" s="2" t="s">
        <v>162</v>
      </c>
    </row>
    <row r="8" ht="12.75">
      <c r="A8" s="2" t="s">
        <v>157</v>
      </c>
    </row>
    <row r="9" ht="12.75">
      <c r="A9" s="2" t="s">
        <v>158</v>
      </c>
    </row>
    <row r="10" ht="12.75">
      <c r="A10" s="2" t="s">
        <v>105</v>
      </c>
    </row>
    <row r="11" ht="12.75">
      <c r="A11" s="2" t="s">
        <v>106</v>
      </c>
    </row>
    <row r="12" ht="12.75">
      <c r="A12" s="2" t="s">
        <v>108</v>
      </c>
    </row>
    <row r="13" ht="12.75">
      <c r="A13" s="2" t="s">
        <v>107</v>
      </c>
    </row>
    <row r="14" ht="12.75">
      <c r="A14" s="2" t="s">
        <v>159</v>
      </c>
    </row>
    <row r="15" ht="12.75">
      <c r="A15" s="2" t="s">
        <v>160</v>
      </c>
    </row>
    <row r="16" ht="12.75">
      <c r="A16" s="2" t="s">
        <v>161</v>
      </c>
    </row>
    <row r="17" ht="12.75">
      <c r="A17" s="2" t="s">
        <v>181</v>
      </c>
    </row>
    <row r="18" ht="12.75">
      <c r="A18" s="3" t="s">
        <v>109</v>
      </c>
    </row>
    <row r="19" ht="12.75">
      <c r="A19" s="3"/>
    </row>
    <row r="20" ht="12.75">
      <c r="A20" s="2" t="s">
        <v>163</v>
      </c>
    </row>
    <row r="21" ht="12.75">
      <c r="A21" s="2" t="s">
        <v>110</v>
      </c>
    </row>
    <row r="22" ht="12.75">
      <c r="A22" s="2" t="s">
        <v>111</v>
      </c>
    </row>
    <row r="23" ht="12.75">
      <c r="A23" s="2" t="s">
        <v>112</v>
      </c>
    </row>
    <row r="24" ht="12.75">
      <c r="A24" s="2" t="s">
        <v>113</v>
      </c>
    </row>
    <row r="25" ht="12.75">
      <c r="A25" s="2" t="s">
        <v>114</v>
      </c>
    </row>
    <row r="26" ht="12.75">
      <c r="A26" s="2" t="s">
        <v>115</v>
      </c>
    </row>
    <row r="27" ht="12.75">
      <c r="A27" s="2" t="s">
        <v>116</v>
      </c>
    </row>
    <row r="28" ht="12.75">
      <c r="A28" s="2" t="s">
        <v>117</v>
      </c>
    </row>
    <row r="29" ht="12.75">
      <c r="A29" s="2" t="s">
        <v>118</v>
      </c>
    </row>
    <row r="30" ht="12.75">
      <c r="A30" s="2" t="s">
        <v>119</v>
      </c>
    </row>
    <row r="31" ht="12.75">
      <c r="A31" s="2" t="s">
        <v>120</v>
      </c>
    </row>
    <row r="32" ht="12.75">
      <c r="A32" s="2" t="s">
        <v>121</v>
      </c>
    </row>
    <row r="33" ht="12.75">
      <c r="A33" s="2" t="s">
        <v>122</v>
      </c>
    </row>
    <row r="34" ht="12.75">
      <c r="A34" s="2" t="s">
        <v>123</v>
      </c>
    </row>
    <row r="35" ht="12.75">
      <c r="A35" s="2" t="s">
        <v>124</v>
      </c>
    </row>
    <row r="36" ht="12.75">
      <c r="A36" s="2" t="s">
        <v>125</v>
      </c>
    </row>
    <row r="37" ht="12.75">
      <c r="A37" s="2" t="s">
        <v>167</v>
      </c>
    </row>
    <row r="38" ht="12.75">
      <c r="A38" s="2" t="s">
        <v>168</v>
      </c>
    </row>
    <row r="39" ht="12.75">
      <c r="A39" s="2" t="s">
        <v>126</v>
      </c>
    </row>
    <row r="40" ht="12.75">
      <c r="A40" s="2" t="s">
        <v>127</v>
      </c>
    </row>
    <row r="41" ht="12.75">
      <c r="A41" s="2" t="s">
        <v>128</v>
      </c>
    </row>
    <row r="42" ht="12.75">
      <c r="A42" s="2" t="s">
        <v>129</v>
      </c>
    </row>
    <row r="43" ht="12.75">
      <c r="A43" s="2" t="s">
        <v>164</v>
      </c>
    </row>
    <row r="44" ht="12.75">
      <c r="A44" s="2" t="s">
        <v>130</v>
      </c>
    </row>
    <row r="45" ht="12.75">
      <c r="A45" s="2" t="s">
        <v>131</v>
      </c>
    </row>
    <row r="46" ht="12.75">
      <c r="A46" s="2" t="s">
        <v>132</v>
      </c>
    </row>
    <row r="47" ht="12.75">
      <c r="A47" s="2" t="s">
        <v>133</v>
      </c>
    </row>
    <row r="48" ht="12.75">
      <c r="A48" s="2" t="s">
        <v>134</v>
      </c>
    </row>
    <row r="49" ht="12.75">
      <c r="A49" s="2" t="s">
        <v>135</v>
      </c>
    </row>
    <row r="50" ht="12.75">
      <c r="A50" s="2" t="s">
        <v>136</v>
      </c>
    </row>
    <row r="51" ht="12.75">
      <c r="A51" s="2" t="s">
        <v>137</v>
      </c>
    </row>
    <row r="52" ht="12.75">
      <c r="A52" s="2" t="s">
        <v>138</v>
      </c>
    </row>
    <row r="53" ht="12.75">
      <c r="A53" s="2" t="s">
        <v>139</v>
      </c>
    </row>
    <row r="54" ht="12.75">
      <c r="A54" s="2" t="s">
        <v>140</v>
      </c>
    </row>
    <row r="55" ht="12.75">
      <c r="A55" s="2" t="s">
        <v>141</v>
      </c>
    </row>
    <row r="56" ht="12.75">
      <c r="A56" s="2" t="s">
        <v>142</v>
      </c>
    </row>
    <row r="57" ht="12.75">
      <c r="A57" s="2" t="s">
        <v>143</v>
      </c>
    </row>
    <row r="58" ht="12.75">
      <c r="A58" s="2" t="s">
        <v>144</v>
      </c>
    </row>
    <row r="59" ht="12.75">
      <c r="A59" s="2" t="s">
        <v>145</v>
      </c>
    </row>
    <row r="60" ht="12.75">
      <c r="A60" s="2" t="s">
        <v>146</v>
      </c>
    </row>
    <row r="61" ht="12.75">
      <c r="A61" s="2" t="s">
        <v>147</v>
      </c>
    </row>
    <row r="62" ht="12.75">
      <c r="A62" s="2" t="s">
        <v>148</v>
      </c>
    </row>
    <row r="63" ht="12.75">
      <c r="A63" s="2" t="s">
        <v>149</v>
      </c>
    </row>
    <row r="64" ht="12.75">
      <c r="A64" s="2" t="s">
        <v>150</v>
      </c>
    </row>
    <row r="65" ht="12.75">
      <c r="A65" s="2" t="s">
        <v>151</v>
      </c>
    </row>
    <row r="66" ht="12.75">
      <c r="A66" s="2" t="s">
        <v>152</v>
      </c>
    </row>
    <row r="67" ht="12.75">
      <c r="A67" s="2" t="s">
        <v>153</v>
      </c>
    </row>
    <row r="68" ht="12.75">
      <c r="A68" s="2" t="s">
        <v>166</v>
      </c>
    </row>
    <row r="69" ht="12.75">
      <c r="A69" s="2" t="s">
        <v>154</v>
      </c>
    </row>
    <row r="70" ht="12.75">
      <c r="A70" s="2" t="s">
        <v>155</v>
      </c>
    </row>
    <row r="71" ht="12.75">
      <c r="A71" s="2" t="s">
        <v>156</v>
      </c>
    </row>
    <row r="72" ht="12.75">
      <c r="A72" s="28" t="s">
        <v>254</v>
      </c>
    </row>
    <row r="73" ht="12.75">
      <c r="A73" s="3"/>
    </row>
    <row r="74" ht="12.75">
      <c r="A74" s="4" t="s">
        <v>330</v>
      </c>
    </row>
    <row r="75" ht="12.75">
      <c r="A75" s="2" t="s">
        <v>174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ht="12.75">
      <c r="A80" s="2" t="s">
        <v>176</v>
      </c>
    </row>
    <row r="81" ht="12.75">
      <c r="A81" s="2" t="s">
        <v>172</v>
      </c>
    </row>
    <row r="82" ht="12.75">
      <c r="A82" s="2" t="s">
        <v>175</v>
      </c>
    </row>
    <row r="83" ht="12.75">
      <c r="A83" s="2" t="s">
        <v>173</v>
      </c>
    </row>
    <row r="84" ht="12.75">
      <c r="A84" s="2"/>
    </row>
    <row r="85" ht="12.75">
      <c r="A85" s="2" t="s">
        <v>179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pane ySplit="1020" topLeftCell="BM75" activePane="bottomLeft" state="split"/>
      <selection pane="topLeft" activeCell="B1" sqref="B1"/>
      <selection pane="bottomLeft" activeCell="G103" sqref="G103"/>
    </sheetView>
  </sheetViews>
  <sheetFormatPr defaultColWidth="9.140625" defaultRowHeight="12.75"/>
  <cols>
    <col min="1" max="1" width="10.00390625" style="0" customWidth="1"/>
    <col min="2" max="11" width="8.8515625" style="6" customWidth="1"/>
  </cols>
  <sheetData>
    <row r="1" ht="13.5">
      <c r="A1" s="5" t="s">
        <v>84</v>
      </c>
    </row>
    <row r="2" spans="1:11" s="2" customFormat="1" ht="9.75">
      <c r="A2" s="1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3" t="s">
        <v>103</v>
      </c>
      <c r="B3" s="6">
        <v>1</v>
      </c>
      <c r="C3" s="6">
        <v>1</v>
      </c>
      <c r="D3" s="6">
        <v>1</v>
      </c>
      <c r="E3" s="6">
        <v>2</v>
      </c>
      <c r="F3" s="6">
        <v>3</v>
      </c>
      <c r="G3" s="6">
        <v>3</v>
      </c>
      <c r="H3" s="6">
        <v>4</v>
      </c>
      <c r="I3" s="6">
        <v>4</v>
      </c>
      <c r="J3" s="6">
        <v>5</v>
      </c>
      <c r="K3" s="6">
        <v>6</v>
      </c>
    </row>
    <row r="4" spans="1:11" ht="12.75">
      <c r="A4" s="3" t="s">
        <v>255</v>
      </c>
      <c r="B4" s="6">
        <v>2.7</v>
      </c>
      <c r="C4" s="6">
        <v>124.6</v>
      </c>
      <c r="D4" s="6">
        <v>60.1</v>
      </c>
      <c r="E4" s="6">
        <v>193.03</v>
      </c>
      <c r="F4" s="6">
        <v>153.4</v>
      </c>
      <c r="G4" s="6">
        <v>55.2</v>
      </c>
      <c r="H4" s="6">
        <v>69.5</v>
      </c>
      <c r="I4" s="6">
        <v>106.3</v>
      </c>
      <c r="J4" s="6">
        <v>96.7</v>
      </c>
      <c r="K4" s="6">
        <v>333</v>
      </c>
    </row>
    <row r="5" spans="1:11" ht="12.75">
      <c r="A5" s="3"/>
      <c r="B5" s="6" t="s">
        <v>215</v>
      </c>
      <c r="C5" s="6" t="s">
        <v>215</v>
      </c>
      <c r="D5" s="6" t="s">
        <v>215</v>
      </c>
      <c r="E5" s="6" t="s">
        <v>215</v>
      </c>
      <c r="F5" s="6" t="s">
        <v>215</v>
      </c>
      <c r="G5" s="6" t="s">
        <v>215</v>
      </c>
      <c r="H5" s="6" t="s">
        <v>215</v>
      </c>
      <c r="I5" s="6" t="s">
        <v>215</v>
      </c>
      <c r="J5" s="6" t="s">
        <v>224</v>
      </c>
      <c r="K5" s="6" t="s">
        <v>215</v>
      </c>
    </row>
    <row r="6" ht="12.75">
      <c r="A6" s="3"/>
    </row>
    <row r="7" spans="1:11" ht="12.75">
      <c r="A7" s="2" t="s">
        <v>162</v>
      </c>
      <c r="H7" s="6">
        <v>45.2</v>
      </c>
      <c r="I7" s="6">
        <v>45.2</v>
      </c>
      <c r="K7" s="6">
        <v>44.71</v>
      </c>
    </row>
    <row r="8" spans="1:11" ht="12.75">
      <c r="A8" s="2" t="s">
        <v>157</v>
      </c>
      <c r="B8" s="6">
        <v>0.41</v>
      </c>
      <c r="C8" s="6">
        <v>0.25</v>
      </c>
      <c r="D8" s="6">
        <v>0.22</v>
      </c>
      <c r="H8" s="6">
        <v>0.24</v>
      </c>
      <c r="I8" s="6">
        <v>0.24</v>
      </c>
      <c r="J8" s="6">
        <v>0.23</v>
      </c>
      <c r="K8" s="6">
        <v>0.25</v>
      </c>
    </row>
    <row r="9" spans="1:11" ht="12.75">
      <c r="A9" s="2" t="s">
        <v>158</v>
      </c>
      <c r="B9" s="6">
        <v>32.9</v>
      </c>
      <c r="C9" s="6">
        <v>27.5</v>
      </c>
      <c r="D9" s="6">
        <v>27.9</v>
      </c>
      <c r="H9" s="6">
        <v>28.3</v>
      </c>
      <c r="I9" s="6">
        <v>28.3</v>
      </c>
      <c r="J9" s="6">
        <v>25.71</v>
      </c>
      <c r="K9" s="6">
        <v>28.52</v>
      </c>
    </row>
    <row r="10" spans="1:11" ht="12.75">
      <c r="A10" s="2" t="s">
        <v>105</v>
      </c>
      <c r="B10" s="6">
        <v>2.94</v>
      </c>
      <c r="C10" s="6">
        <v>3.9</v>
      </c>
      <c r="D10" s="6">
        <v>3.8</v>
      </c>
      <c r="E10" s="6">
        <v>4.35</v>
      </c>
      <c r="F10" s="6">
        <v>4.3</v>
      </c>
      <c r="G10" s="6">
        <v>4.58</v>
      </c>
      <c r="H10" s="6">
        <v>4.27</v>
      </c>
      <c r="I10" s="6">
        <v>4.29</v>
      </c>
      <c r="J10" s="6">
        <v>3.89</v>
      </c>
      <c r="K10" s="6">
        <v>4.37</v>
      </c>
    </row>
    <row r="11" spans="1:11" ht="12.75">
      <c r="A11" s="2" t="s">
        <v>106</v>
      </c>
      <c r="B11" s="6">
        <v>0.047</v>
      </c>
      <c r="C11" s="6">
        <v>0.058</v>
      </c>
      <c r="D11" s="6">
        <v>0.056</v>
      </c>
      <c r="F11" s="6">
        <v>0.067</v>
      </c>
      <c r="G11" s="6">
        <v>0.079</v>
      </c>
      <c r="H11" s="6">
        <v>0.066</v>
      </c>
      <c r="I11" s="6">
        <v>0.066</v>
      </c>
      <c r="J11" s="6">
        <v>0.055</v>
      </c>
      <c r="K11" s="6">
        <v>0.066</v>
      </c>
    </row>
    <row r="12" spans="1:11" ht="12.75">
      <c r="A12" s="2" t="s">
        <v>108</v>
      </c>
      <c r="B12" s="6">
        <v>5.7</v>
      </c>
      <c r="C12" s="6">
        <v>3.2</v>
      </c>
      <c r="D12" s="6">
        <v>4.6</v>
      </c>
      <c r="H12" s="6">
        <v>4.17</v>
      </c>
      <c r="I12" s="6">
        <v>4.17</v>
      </c>
      <c r="J12" s="6">
        <v>4.15</v>
      </c>
      <c r="K12" s="6">
        <v>4.06</v>
      </c>
    </row>
    <row r="13" spans="1:11" ht="12.75">
      <c r="A13" s="2" t="s">
        <v>107</v>
      </c>
      <c r="B13" s="6">
        <v>17.7</v>
      </c>
      <c r="C13" s="6">
        <v>17.2</v>
      </c>
      <c r="D13" s="6">
        <v>18.5</v>
      </c>
      <c r="E13" s="6">
        <v>16.8</v>
      </c>
      <c r="H13" s="6">
        <v>16.9</v>
      </c>
      <c r="I13" s="6">
        <v>16.9</v>
      </c>
      <c r="J13" s="6">
        <v>15.25</v>
      </c>
      <c r="K13" s="6">
        <v>17.07</v>
      </c>
    </row>
    <row r="14" spans="1:11" ht="12.75">
      <c r="A14" s="2" t="s">
        <v>159</v>
      </c>
      <c r="B14" s="6">
        <v>0.327</v>
      </c>
      <c r="C14" s="6">
        <v>0.316</v>
      </c>
      <c r="D14" s="6">
        <v>0.376</v>
      </c>
      <c r="E14" s="6">
        <v>0.334</v>
      </c>
      <c r="F14" s="6">
        <v>0.39</v>
      </c>
      <c r="G14" s="6">
        <v>0.4</v>
      </c>
      <c r="H14" s="6">
        <v>0.335</v>
      </c>
      <c r="I14" s="6">
        <v>0.335</v>
      </c>
      <c r="J14" s="6">
        <v>0.29</v>
      </c>
      <c r="K14" s="6">
        <v>0.33</v>
      </c>
    </row>
    <row r="15" spans="1:11" ht="12.75">
      <c r="A15" s="2" t="s">
        <v>160</v>
      </c>
      <c r="F15" s="6">
        <v>0.023</v>
      </c>
      <c r="G15" s="6">
        <v>0.022</v>
      </c>
      <c r="H15" s="6">
        <v>0.034</v>
      </c>
      <c r="I15" s="6">
        <v>0.034</v>
      </c>
      <c r="J15" s="6">
        <v>0.025</v>
      </c>
      <c r="K15" s="6">
        <v>0.026</v>
      </c>
    </row>
    <row r="16" spans="1:10" ht="12.75">
      <c r="A16" s="2" t="s">
        <v>161</v>
      </c>
      <c r="B16" s="6">
        <v>0.02</v>
      </c>
      <c r="C16" s="6">
        <v>0.022</v>
      </c>
      <c r="D16" s="6">
        <v>0.024</v>
      </c>
      <c r="J16" s="6">
        <v>0.024</v>
      </c>
    </row>
    <row r="17" ht="12.75">
      <c r="A17" s="2" t="s">
        <v>181</v>
      </c>
    </row>
    <row r="18" ht="12.75">
      <c r="A18" s="3" t="s">
        <v>109</v>
      </c>
    </row>
    <row r="19" ht="12.75">
      <c r="A19" s="3"/>
    </row>
    <row r="20" spans="1:11" ht="12.75">
      <c r="A20" s="2" t="s">
        <v>163</v>
      </c>
      <c r="B20" s="6">
        <v>5.8</v>
      </c>
      <c r="C20" s="6">
        <v>7.9</v>
      </c>
      <c r="D20" s="6">
        <v>7.6</v>
      </c>
      <c r="E20" s="6">
        <v>8.47</v>
      </c>
      <c r="F20" s="6">
        <v>8.64</v>
      </c>
      <c r="G20" s="6">
        <v>9.71</v>
      </c>
      <c r="H20" s="6">
        <v>8.8</v>
      </c>
      <c r="I20" s="6">
        <v>8.83</v>
      </c>
      <c r="J20" s="6">
        <v>7.7</v>
      </c>
      <c r="K20" s="6">
        <v>8.9</v>
      </c>
    </row>
    <row r="21" spans="1:11" ht="12.75">
      <c r="A21" s="2" t="s">
        <v>110</v>
      </c>
      <c r="B21" s="6">
        <v>37</v>
      </c>
      <c r="C21" s="6">
        <v>17</v>
      </c>
      <c r="D21" s="6">
        <v>21</v>
      </c>
      <c r="J21" s="6">
        <v>16</v>
      </c>
      <c r="K21" s="6" t="s">
        <v>225</v>
      </c>
    </row>
    <row r="22" spans="1:11" ht="12.75">
      <c r="A22" s="2" t="s">
        <v>111</v>
      </c>
      <c r="B22" s="6">
        <v>700</v>
      </c>
      <c r="C22" s="6">
        <v>490</v>
      </c>
      <c r="D22" s="6">
        <v>550</v>
      </c>
      <c r="E22" s="6">
        <v>638</v>
      </c>
      <c r="F22" s="6">
        <v>655</v>
      </c>
      <c r="G22" s="6">
        <v>738</v>
      </c>
      <c r="H22" s="6">
        <v>623</v>
      </c>
      <c r="I22" s="6">
        <v>622</v>
      </c>
      <c r="J22" s="6">
        <v>620</v>
      </c>
      <c r="K22" s="6">
        <v>640</v>
      </c>
    </row>
    <row r="23" spans="1:11" ht="12.75">
      <c r="A23" s="2" t="s">
        <v>112</v>
      </c>
      <c r="B23" s="6">
        <v>7.3</v>
      </c>
      <c r="C23" s="6">
        <v>11.2</v>
      </c>
      <c r="D23" s="6">
        <v>11.3</v>
      </c>
      <c r="E23" s="6">
        <v>14.51</v>
      </c>
      <c r="F23" s="6">
        <v>16.1</v>
      </c>
      <c r="G23" s="6">
        <v>16.7</v>
      </c>
      <c r="H23" s="6">
        <v>14.65</v>
      </c>
      <c r="I23" s="6">
        <v>14.65</v>
      </c>
      <c r="J23" s="6">
        <v>15.1</v>
      </c>
      <c r="K23" s="6">
        <v>14.4</v>
      </c>
    </row>
    <row r="24" spans="1:11" ht="12.75">
      <c r="A24" s="2" t="s">
        <v>113</v>
      </c>
      <c r="C24" s="6">
        <v>110</v>
      </c>
      <c r="D24" s="6">
        <v>120</v>
      </c>
      <c r="E24" s="6">
        <v>150</v>
      </c>
      <c r="F24" s="6">
        <v>163</v>
      </c>
      <c r="G24" s="6">
        <v>155</v>
      </c>
      <c r="H24" s="6">
        <v>150</v>
      </c>
      <c r="I24" s="6">
        <v>160</v>
      </c>
      <c r="J24" s="6">
        <v>170</v>
      </c>
      <c r="K24" s="6">
        <v>127</v>
      </c>
    </row>
    <row r="25" ht="12.75">
      <c r="A25" s="2" t="s">
        <v>114</v>
      </c>
    </row>
    <row r="26" spans="1:11" ht="12.75">
      <c r="A26" s="2" t="s">
        <v>115</v>
      </c>
      <c r="F26" s="6">
        <v>12</v>
      </c>
      <c r="G26" s="6">
        <v>10</v>
      </c>
      <c r="J26" s="6">
        <v>18</v>
      </c>
      <c r="K26" s="6">
        <v>7.6</v>
      </c>
    </row>
    <row r="27" spans="1:11" ht="12.75">
      <c r="A27" s="2" t="s">
        <v>116</v>
      </c>
      <c r="F27" s="6">
        <v>4.12</v>
      </c>
      <c r="G27" s="6">
        <v>3.6</v>
      </c>
      <c r="J27" s="6">
        <v>3.22</v>
      </c>
      <c r="K27" s="6">
        <v>3.51</v>
      </c>
    </row>
    <row r="28" spans="1:11" ht="12.75">
      <c r="A28" s="2" t="s">
        <v>117</v>
      </c>
      <c r="K28" s="6">
        <v>780</v>
      </c>
    </row>
    <row r="29" spans="1:10" ht="12.75">
      <c r="A29" s="2" t="s">
        <v>118</v>
      </c>
      <c r="F29" s="6">
        <v>0.06</v>
      </c>
      <c r="G29" s="6">
        <v>0.08</v>
      </c>
      <c r="J29" s="6">
        <v>0.15</v>
      </c>
    </row>
    <row r="30" spans="1:10" ht="12.75">
      <c r="A30" s="2" t="s">
        <v>119</v>
      </c>
      <c r="F30" s="6">
        <v>0.26</v>
      </c>
      <c r="G30" s="6">
        <v>0.22</v>
      </c>
      <c r="J30" s="6" t="s">
        <v>189</v>
      </c>
    </row>
    <row r="31" spans="1:10" ht="12.75">
      <c r="A31" s="2" t="s">
        <v>120</v>
      </c>
      <c r="F31" s="6">
        <v>0.9</v>
      </c>
      <c r="G31" s="6" t="s">
        <v>182</v>
      </c>
      <c r="J31" s="6">
        <v>1.11</v>
      </c>
    </row>
    <row r="32" spans="1:11" ht="12.75">
      <c r="A32" s="2" t="s">
        <v>121</v>
      </c>
      <c r="C32" s="6">
        <v>130</v>
      </c>
      <c r="D32" s="6">
        <v>120</v>
      </c>
      <c r="E32" s="6">
        <v>156</v>
      </c>
      <c r="F32" s="6">
        <v>150</v>
      </c>
      <c r="G32" s="6">
        <v>200</v>
      </c>
      <c r="H32" s="6">
        <v>170</v>
      </c>
      <c r="I32" s="6">
        <v>150</v>
      </c>
      <c r="J32" s="6">
        <v>149</v>
      </c>
      <c r="K32" s="6">
        <v>150</v>
      </c>
    </row>
    <row r="33" spans="1:10" ht="12.75">
      <c r="A33" s="2" t="s">
        <v>122</v>
      </c>
      <c r="J33" s="6">
        <v>8.02</v>
      </c>
    </row>
    <row r="34" spans="1:11" ht="12.75">
      <c r="A34" s="2" t="s">
        <v>123</v>
      </c>
      <c r="E34" s="6">
        <v>34</v>
      </c>
      <c r="F34" s="6">
        <v>44</v>
      </c>
      <c r="G34" s="6">
        <v>40</v>
      </c>
      <c r="H34" s="6">
        <v>30</v>
      </c>
      <c r="I34" s="6">
        <v>38</v>
      </c>
      <c r="J34" s="6">
        <v>30</v>
      </c>
      <c r="K34" s="6">
        <v>35</v>
      </c>
    </row>
    <row r="35" spans="1:10" ht="12.75">
      <c r="A35" s="2" t="s">
        <v>124</v>
      </c>
      <c r="J35" s="6">
        <v>1.8</v>
      </c>
    </row>
    <row r="36" spans="1:10" ht="12.75">
      <c r="A36" s="2" t="s">
        <v>125</v>
      </c>
      <c r="J36" s="6">
        <v>1.8</v>
      </c>
    </row>
    <row r="37" ht="12.75">
      <c r="A37" s="2" t="s">
        <v>167</v>
      </c>
    </row>
    <row r="38" ht="12.75">
      <c r="A38" s="2" t="s">
        <v>168</v>
      </c>
    </row>
    <row r="39" ht="12.75">
      <c r="A39" s="2" t="s">
        <v>126</v>
      </c>
    </row>
    <row r="40" ht="12.75">
      <c r="A40" s="2" t="s">
        <v>127</v>
      </c>
    </row>
    <row r="41" spans="1:11" ht="12.75">
      <c r="A41" s="2" t="s">
        <v>128</v>
      </c>
      <c r="K41" s="6">
        <v>6.3</v>
      </c>
    </row>
    <row r="42" ht="12.75">
      <c r="A42" s="2" t="s">
        <v>129</v>
      </c>
    </row>
    <row r="43" spans="1:10" ht="12.75">
      <c r="A43" s="2" t="s">
        <v>164</v>
      </c>
      <c r="J43" s="6">
        <v>440</v>
      </c>
    </row>
    <row r="44" spans="1:7" ht="12.75">
      <c r="A44" s="2" t="s">
        <v>130</v>
      </c>
      <c r="F44" s="6">
        <v>40</v>
      </c>
      <c r="G44" s="6" t="s">
        <v>226</v>
      </c>
    </row>
    <row r="45" ht="12.75">
      <c r="A45" s="2" t="s">
        <v>131</v>
      </c>
    </row>
    <row r="46" spans="1:10" ht="12.75">
      <c r="A46" s="2" t="s">
        <v>132</v>
      </c>
      <c r="E46" s="6">
        <v>0.04</v>
      </c>
      <c r="F46" s="6">
        <v>0.059</v>
      </c>
      <c r="G46" s="6">
        <v>0.062</v>
      </c>
      <c r="H46" s="6">
        <v>0.05</v>
      </c>
      <c r="I46" s="6">
        <v>0.04</v>
      </c>
      <c r="J46" s="6">
        <v>0.031</v>
      </c>
    </row>
    <row r="47" spans="1:11" ht="12.75">
      <c r="A47" s="2" t="s">
        <v>133</v>
      </c>
      <c r="C47" s="6">
        <v>31</v>
      </c>
      <c r="D47" s="6">
        <v>41</v>
      </c>
      <c r="E47" s="6">
        <v>31</v>
      </c>
      <c r="F47" s="6">
        <v>25</v>
      </c>
      <c r="G47" s="6">
        <v>26</v>
      </c>
      <c r="H47" s="6">
        <v>39</v>
      </c>
      <c r="I47" s="6">
        <v>34</v>
      </c>
      <c r="J47" s="6">
        <v>27</v>
      </c>
      <c r="K47" s="6">
        <v>30</v>
      </c>
    </row>
    <row r="48" spans="1:11" ht="12.75">
      <c r="A48" s="2" t="s">
        <v>134</v>
      </c>
      <c r="B48" s="6">
        <v>3.8</v>
      </c>
      <c r="C48" s="6">
        <v>1.92</v>
      </c>
      <c r="D48" s="6">
        <v>2.48</v>
      </c>
      <c r="E48" s="6">
        <v>2.48</v>
      </c>
      <c r="F48" s="6">
        <v>2.54</v>
      </c>
      <c r="G48" s="6">
        <v>2.93</v>
      </c>
      <c r="H48" s="6">
        <v>2.59</v>
      </c>
      <c r="I48" s="6">
        <v>2.59</v>
      </c>
      <c r="J48" s="6">
        <v>2.2</v>
      </c>
      <c r="K48" s="6">
        <v>2.68</v>
      </c>
    </row>
    <row r="49" spans="1:11" ht="12.75">
      <c r="A49" s="2" t="s">
        <v>135</v>
      </c>
      <c r="B49" s="6">
        <v>9</v>
      </c>
      <c r="C49" s="6">
        <v>5.7</v>
      </c>
      <c r="D49" s="6">
        <v>6.6</v>
      </c>
      <c r="E49" s="6">
        <v>6.38</v>
      </c>
      <c r="F49" s="6">
        <v>6.41</v>
      </c>
      <c r="G49" s="6">
        <v>7.56</v>
      </c>
      <c r="H49" s="6">
        <v>6.66</v>
      </c>
      <c r="I49" s="6">
        <v>6.71</v>
      </c>
      <c r="J49" s="6">
        <v>5.34</v>
      </c>
      <c r="K49" s="6">
        <v>6</v>
      </c>
    </row>
    <row r="50" spans="1:10" ht="12.75">
      <c r="A50" s="2" t="s">
        <v>136</v>
      </c>
      <c r="J50" s="6">
        <v>0.716</v>
      </c>
    </row>
    <row r="51" spans="1:11" ht="12.75">
      <c r="A51" s="2" t="s">
        <v>137</v>
      </c>
      <c r="C51" s="6">
        <v>3.2</v>
      </c>
      <c r="D51" s="6">
        <v>3.4</v>
      </c>
      <c r="F51" s="6">
        <v>4.1</v>
      </c>
      <c r="G51" s="6">
        <v>5</v>
      </c>
      <c r="H51" s="6">
        <v>4.3</v>
      </c>
      <c r="I51" s="6">
        <v>5</v>
      </c>
      <c r="J51" s="6">
        <v>3.11</v>
      </c>
      <c r="K51" s="6">
        <v>3.7</v>
      </c>
    </row>
    <row r="52" spans="1:11" ht="12.75">
      <c r="A52" s="2" t="s">
        <v>138</v>
      </c>
      <c r="B52" s="6">
        <v>0.271</v>
      </c>
      <c r="C52" s="6">
        <v>0.88</v>
      </c>
      <c r="D52" s="6">
        <v>1.12</v>
      </c>
      <c r="E52" s="6">
        <v>1.203</v>
      </c>
      <c r="F52" s="6">
        <v>1.22</v>
      </c>
      <c r="G52" s="6">
        <v>1.46</v>
      </c>
      <c r="H52" s="6">
        <v>1.203</v>
      </c>
      <c r="I52" s="6">
        <v>1.23</v>
      </c>
      <c r="J52" s="6">
        <v>1.08</v>
      </c>
      <c r="K52" s="6">
        <v>1.13</v>
      </c>
    </row>
    <row r="53" spans="1:11" ht="12.75">
      <c r="A53" s="2" t="s">
        <v>139</v>
      </c>
      <c r="B53" s="6">
        <v>1</v>
      </c>
      <c r="C53" s="6">
        <v>0.8</v>
      </c>
      <c r="D53" s="6">
        <v>0.82</v>
      </c>
      <c r="E53" s="6">
        <v>0.79</v>
      </c>
      <c r="F53" s="6">
        <v>0.77</v>
      </c>
      <c r="G53" s="6">
        <v>0.8</v>
      </c>
      <c r="H53" s="6">
        <v>0.824</v>
      </c>
      <c r="I53" s="6">
        <v>0.834</v>
      </c>
      <c r="J53" s="6">
        <v>0.73</v>
      </c>
      <c r="K53" s="6">
        <v>0.81</v>
      </c>
    </row>
    <row r="54" spans="1:10" ht="12.75">
      <c r="A54" s="2" t="s">
        <v>140</v>
      </c>
      <c r="F54" s="6">
        <v>1.3</v>
      </c>
      <c r="G54" s="6">
        <v>1.65</v>
      </c>
      <c r="J54" s="6">
        <v>1.01</v>
      </c>
    </row>
    <row r="55" spans="1:11" ht="12.75">
      <c r="A55" s="2" t="s">
        <v>141</v>
      </c>
      <c r="C55" s="6">
        <v>0.23</v>
      </c>
      <c r="D55" s="6">
        <v>0.28</v>
      </c>
      <c r="E55" s="6">
        <v>0.251</v>
      </c>
      <c r="F55" s="6">
        <v>0.26</v>
      </c>
      <c r="G55" s="6">
        <v>0.29</v>
      </c>
      <c r="H55" s="6">
        <v>0.261</v>
      </c>
      <c r="I55" s="6">
        <v>0.267</v>
      </c>
      <c r="J55" s="6">
        <v>0.21</v>
      </c>
      <c r="K55" s="6">
        <v>0.229</v>
      </c>
    </row>
    <row r="56" spans="1:11" ht="12.75">
      <c r="A56" s="2" t="s">
        <v>142</v>
      </c>
      <c r="C56" s="6">
        <v>1.4</v>
      </c>
      <c r="D56" s="6">
        <v>1.7</v>
      </c>
      <c r="F56" s="6">
        <v>1.71</v>
      </c>
      <c r="G56" s="6">
        <v>1.9</v>
      </c>
      <c r="J56" s="6">
        <v>1.49</v>
      </c>
      <c r="K56" s="6">
        <v>1.48</v>
      </c>
    </row>
    <row r="57" spans="1:11" ht="12.75">
      <c r="A57" s="2" t="s">
        <v>143</v>
      </c>
      <c r="J57" s="6">
        <v>0.3</v>
      </c>
      <c r="K57" s="6">
        <v>0.33</v>
      </c>
    </row>
    <row r="58" spans="1:10" ht="12.75">
      <c r="A58" s="2" t="s">
        <v>144</v>
      </c>
      <c r="J58" s="6">
        <v>0.84</v>
      </c>
    </row>
    <row r="59" spans="1:10" ht="12.75">
      <c r="A59" s="2" t="s">
        <v>145</v>
      </c>
      <c r="J59" s="6">
        <v>0.13</v>
      </c>
    </row>
    <row r="60" spans="1:11" ht="12.75">
      <c r="A60" s="2" t="s">
        <v>146</v>
      </c>
      <c r="B60" s="6">
        <v>0.34</v>
      </c>
      <c r="C60" s="6">
        <v>0.75</v>
      </c>
      <c r="D60" s="6">
        <v>1.03</v>
      </c>
      <c r="E60" s="6">
        <v>0.987</v>
      </c>
      <c r="F60" s="6">
        <v>1.05</v>
      </c>
      <c r="G60" s="6">
        <v>1.18</v>
      </c>
      <c r="H60" s="6">
        <v>1.05</v>
      </c>
      <c r="I60" s="6">
        <v>1.03</v>
      </c>
      <c r="J60" s="6">
        <v>0.87</v>
      </c>
      <c r="K60" s="6">
        <v>0.98</v>
      </c>
    </row>
    <row r="61" spans="1:11" ht="12.75">
      <c r="A61" s="2" t="s">
        <v>147</v>
      </c>
      <c r="B61" s="6">
        <v>0.069</v>
      </c>
      <c r="C61" s="6">
        <v>0.113</v>
      </c>
      <c r="D61" s="6">
        <v>0.145</v>
      </c>
      <c r="E61" s="6">
        <v>0.138</v>
      </c>
      <c r="F61" s="6">
        <v>0.16</v>
      </c>
      <c r="G61" s="6">
        <v>0.18</v>
      </c>
      <c r="H61" s="6">
        <v>0.147</v>
      </c>
      <c r="I61" s="6">
        <v>0.146</v>
      </c>
      <c r="J61" s="6">
        <v>0.125</v>
      </c>
      <c r="K61" s="6">
        <v>0.143</v>
      </c>
    </row>
    <row r="62" spans="1:11" ht="12.75">
      <c r="A62" s="2" t="s">
        <v>148</v>
      </c>
      <c r="C62" s="6">
        <v>0.65</v>
      </c>
      <c r="D62" s="6">
        <v>0.87</v>
      </c>
      <c r="E62" s="6">
        <v>0.9</v>
      </c>
      <c r="F62" s="6">
        <v>0.88</v>
      </c>
      <c r="G62" s="6">
        <v>0.97</v>
      </c>
      <c r="H62" s="6">
        <v>0.93</v>
      </c>
      <c r="I62" s="6">
        <v>0.95</v>
      </c>
      <c r="J62" s="6">
        <v>0.75</v>
      </c>
      <c r="K62" s="6">
        <v>0.78</v>
      </c>
    </row>
    <row r="63" spans="1:11" ht="12.75">
      <c r="A63" s="2" t="s">
        <v>149</v>
      </c>
      <c r="C63" s="6">
        <v>0.1</v>
      </c>
      <c r="D63" s="6">
        <v>0.12</v>
      </c>
      <c r="E63" s="6">
        <v>0.112</v>
      </c>
      <c r="F63" s="6">
        <v>0.087</v>
      </c>
      <c r="G63" s="6">
        <v>0.096</v>
      </c>
      <c r="H63" s="6">
        <v>0.117</v>
      </c>
      <c r="I63" s="6">
        <v>0.113</v>
      </c>
      <c r="J63" s="6">
        <v>0.085</v>
      </c>
      <c r="K63" s="6">
        <v>0.103</v>
      </c>
    </row>
    <row r="64" spans="1:10" ht="12.75">
      <c r="A64" s="2" t="s">
        <v>150</v>
      </c>
      <c r="F64" s="6">
        <v>200</v>
      </c>
      <c r="G64" s="6">
        <v>100</v>
      </c>
      <c r="J64" s="6">
        <v>330</v>
      </c>
    </row>
    <row r="65" spans="1:11" ht="12.75">
      <c r="A65" s="2" t="s">
        <v>151</v>
      </c>
      <c r="K65" s="6">
        <v>0.59</v>
      </c>
    </row>
    <row r="66" spans="1:11" ht="12.75">
      <c r="A66" s="2" t="s">
        <v>152</v>
      </c>
      <c r="K66" s="6">
        <v>0.0064</v>
      </c>
    </row>
    <row r="67" spans="1:11" ht="12.75">
      <c r="A67" s="2" t="s">
        <v>153</v>
      </c>
      <c r="C67" s="6">
        <v>9</v>
      </c>
      <c r="D67" s="6">
        <v>10</v>
      </c>
      <c r="E67" s="6">
        <v>7.7</v>
      </c>
      <c r="F67" s="6">
        <v>5.8</v>
      </c>
      <c r="G67" s="6">
        <v>6.9</v>
      </c>
      <c r="H67" s="6">
        <v>6.6</v>
      </c>
      <c r="I67" s="6">
        <v>6.3</v>
      </c>
      <c r="J67" s="6">
        <v>6</v>
      </c>
      <c r="K67" s="6">
        <v>11.2</v>
      </c>
    </row>
    <row r="68" spans="1:2" ht="12.75">
      <c r="A68" s="2" t="s">
        <v>166</v>
      </c>
      <c r="B68" s="6" t="s">
        <v>165</v>
      </c>
    </row>
    <row r="69" spans="1:11" ht="12.75">
      <c r="A69" s="2" t="s">
        <v>154</v>
      </c>
      <c r="C69" s="6">
        <v>3</v>
      </c>
      <c r="D69" s="6">
        <v>4</v>
      </c>
      <c r="E69" s="6">
        <v>2.7</v>
      </c>
      <c r="F69" s="6">
        <v>3.5</v>
      </c>
      <c r="G69" s="6">
        <v>4</v>
      </c>
      <c r="H69" s="6">
        <v>2.3</v>
      </c>
      <c r="I69" s="6">
        <v>2.1</v>
      </c>
      <c r="J69" s="6">
        <v>4.6</v>
      </c>
      <c r="K69" s="6">
        <v>1.78</v>
      </c>
    </row>
    <row r="70" spans="1:11" ht="12.75">
      <c r="A70" s="2" t="s">
        <v>155</v>
      </c>
      <c r="C70" s="6">
        <v>0.3</v>
      </c>
      <c r="D70" s="6">
        <v>0.44</v>
      </c>
      <c r="E70" s="6">
        <v>0.42</v>
      </c>
      <c r="F70" s="6">
        <v>0.33</v>
      </c>
      <c r="G70" s="6">
        <v>0.41</v>
      </c>
      <c r="H70" s="6">
        <v>0.44</v>
      </c>
      <c r="I70" s="6">
        <v>0.42</v>
      </c>
      <c r="J70" s="6">
        <v>0.33</v>
      </c>
      <c r="K70" s="6">
        <v>0.36</v>
      </c>
    </row>
    <row r="71" spans="1:11" ht="12.75">
      <c r="A71" s="2" t="s">
        <v>156</v>
      </c>
      <c r="E71" s="6">
        <v>0.1</v>
      </c>
      <c r="F71" s="6">
        <v>0.095</v>
      </c>
      <c r="G71" s="6">
        <v>0.11</v>
      </c>
      <c r="H71" s="6">
        <v>0.11</v>
      </c>
      <c r="I71" s="6">
        <v>0.12</v>
      </c>
      <c r="J71" s="6">
        <v>0.11</v>
      </c>
      <c r="K71" s="6">
        <v>0.097</v>
      </c>
    </row>
    <row r="72" ht="12.75">
      <c r="A72" s="3" t="s">
        <v>227</v>
      </c>
    </row>
    <row r="73" ht="12.75">
      <c r="A73" s="3"/>
    </row>
    <row r="74" ht="12.75">
      <c r="A74" s="4" t="s">
        <v>85</v>
      </c>
    </row>
    <row r="75" spans="1:10" ht="12.75">
      <c r="A75" s="2" t="s">
        <v>174</v>
      </c>
      <c r="J75" s="6">
        <v>3.2</v>
      </c>
    </row>
    <row r="76" ht="12.75">
      <c r="A76" s="2" t="s">
        <v>169</v>
      </c>
    </row>
    <row r="77" ht="12.75">
      <c r="A77" s="2" t="s">
        <v>170</v>
      </c>
    </row>
    <row r="78" ht="12.75">
      <c r="A78" s="2" t="s">
        <v>171</v>
      </c>
    </row>
    <row r="80" spans="1:10" ht="12.75">
      <c r="A80" s="2" t="s">
        <v>176</v>
      </c>
      <c r="J80" s="6">
        <v>48</v>
      </c>
    </row>
    <row r="81" spans="1:10" ht="12.75">
      <c r="A81" s="2" t="s">
        <v>172</v>
      </c>
      <c r="J81" s="6">
        <v>382</v>
      </c>
    </row>
    <row r="82" spans="1:10" ht="12.75">
      <c r="A82" s="2" t="s">
        <v>175</v>
      </c>
      <c r="F82" s="6">
        <v>0.12</v>
      </c>
      <c r="G82" s="6" t="s">
        <v>228</v>
      </c>
      <c r="J82" s="6">
        <v>0.132</v>
      </c>
    </row>
    <row r="83" spans="1:10" ht="12.75">
      <c r="A83" s="2" t="s">
        <v>173</v>
      </c>
      <c r="J83" s="6">
        <v>1.6</v>
      </c>
    </row>
    <row r="84" ht="12.75">
      <c r="A84" s="2"/>
    </row>
    <row r="85" spans="1:10" ht="12.75">
      <c r="A85" s="2" t="s">
        <v>179</v>
      </c>
      <c r="J85" s="6">
        <v>0.73</v>
      </c>
    </row>
    <row r="86" ht="12.75">
      <c r="A86" s="2" t="s">
        <v>180</v>
      </c>
    </row>
    <row r="87" ht="12.75">
      <c r="A87" s="2" t="s">
        <v>178</v>
      </c>
    </row>
    <row r="88" ht="12.75">
      <c r="A88" s="2" t="s">
        <v>177</v>
      </c>
    </row>
    <row r="90" ht="12.75">
      <c r="A90" s="2" t="s">
        <v>248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66">
      <selection activeCell="A76" sqref="A76"/>
    </sheetView>
  </sheetViews>
  <sheetFormatPr defaultColWidth="9.140625" defaultRowHeight="12.75"/>
  <sheetData>
    <row r="1" ht="15">
      <c r="A1" s="16" t="s">
        <v>61</v>
      </c>
    </row>
    <row r="2" spans="1:15" ht="26.25">
      <c r="A2" s="12"/>
      <c r="B2" s="12">
        <v>93069</v>
      </c>
      <c r="C2" s="12" t="s">
        <v>229</v>
      </c>
      <c r="D2" s="13" t="s">
        <v>230</v>
      </c>
      <c r="E2" s="12" t="s">
        <v>231</v>
      </c>
      <c r="F2" s="12" t="s">
        <v>232</v>
      </c>
      <c r="G2" s="12" t="s">
        <v>233</v>
      </c>
      <c r="H2" s="12" t="s">
        <v>234</v>
      </c>
      <c r="I2" s="13" t="s">
        <v>235</v>
      </c>
      <c r="J2" s="14" t="s">
        <v>236</v>
      </c>
      <c r="K2" s="14" t="s">
        <v>237</v>
      </c>
      <c r="L2" s="14" t="s">
        <v>238</v>
      </c>
      <c r="M2" s="14" t="s">
        <v>239</v>
      </c>
      <c r="N2" s="14" t="s">
        <v>240</v>
      </c>
      <c r="O2" s="14" t="s">
        <v>241</v>
      </c>
    </row>
    <row r="3" spans="1:15" ht="12.75">
      <c r="A3" s="12" t="s">
        <v>103</v>
      </c>
      <c r="B3" s="12">
        <v>1</v>
      </c>
      <c r="C3" s="12">
        <v>2</v>
      </c>
      <c r="D3" s="13">
        <v>2</v>
      </c>
      <c r="E3" s="12">
        <v>3</v>
      </c>
      <c r="F3" s="12">
        <v>3</v>
      </c>
      <c r="G3" s="12">
        <v>3</v>
      </c>
      <c r="H3" s="12">
        <v>3</v>
      </c>
      <c r="I3" s="13">
        <v>3</v>
      </c>
      <c r="J3" s="14">
        <v>3</v>
      </c>
      <c r="K3" s="14">
        <v>3</v>
      </c>
      <c r="L3" s="14">
        <v>3</v>
      </c>
      <c r="M3" s="14">
        <v>3</v>
      </c>
      <c r="N3" s="14">
        <v>3</v>
      </c>
      <c r="O3" s="14">
        <v>3</v>
      </c>
    </row>
    <row r="4" spans="1:15" ht="12.75">
      <c r="A4" s="12" t="s">
        <v>104</v>
      </c>
      <c r="B4" s="12">
        <v>58.38</v>
      </c>
      <c r="C4" s="12" t="s">
        <v>242</v>
      </c>
      <c r="D4" s="13" t="s">
        <v>242</v>
      </c>
      <c r="E4" s="12">
        <v>24.4</v>
      </c>
      <c r="F4" s="12">
        <v>27.7</v>
      </c>
      <c r="G4" s="12">
        <v>23.3</v>
      </c>
      <c r="H4" s="12">
        <v>20.3</v>
      </c>
      <c r="I4" s="13">
        <v>21.9</v>
      </c>
      <c r="J4" s="14">
        <v>22.3</v>
      </c>
      <c r="K4" s="14">
        <v>30.5</v>
      </c>
      <c r="L4" s="14">
        <v>31.3</v>
      </c>
      <c r="M4" s="14">
        <v>19.3</v>
      </c>
      <c r="N4" s="14">
        <v>32.3</v>
      </c>
      <c r="O4" s="14">
        <v>27.9</v>
      </c>
    </row>
    <row r="5" spans="1:15" ht="12.75">
      <c r="A5" s="12" t="s">
        <v>243</v>
      </c>
      <c r="B5" s="12" t="s">
        <v>215</v>
      </c>
      <c r="C5" s="12" t="s">
        <v>215</v>
      </c>
      <c r="D5" s="13" t="s">
        <v>215</v>
      </c>
      <c r="E5" s="12" t="s">
        <v>215</v>
      </c>
      <c r="F5" s="12" t="s">
        <v>215</v>
      </c>
      <c r="G5" s="12" t="s">
        <v>215</v>
      </c>
      <c r="H5" s="12" t="s">
        <v>215</v>
      </c>
      <c r="I5" s="13" t="s">
        <v>215</v>
      </c>
      <c r="J5" s="14" t="s">
        <v>215</v>
      </c>
      <c r="K5" s="14" t="s">
        <v>215</v>
      </c>
      <c r="L5" s="14" t="s">
        <v>215</v>
      </c>
      <c r="M5" s="14" t="s">
        <v>215</v>
      </c>
      <c r="N5" s="14" t="s">
        <v>215</v>
      </c>
      <c r="O5" s="14" t="s">
        <v>215</v>
      </c>
    </row>
    <row r="6" spans="1:15" ht="12.75">
      <c r="A6" s="12"/>
      <c r="B6" s="12"/>
      <c r="C6" s="12"/>
      <c r="D6" s="13"/>
      <c r="E6" s="12"/>
      <c r="F6" s="12"/>
      <c r="G6" s="12"/>
      <c r="H6" s="12"/>
      <c r="I6" s="13"/>
      <c r="J6" s="14"/>
      <c r="K6" s="14"/>
      <c r="L6" s="14"/>
      <c r="M6" s="14"/>
      <c r="N6" s="14"/>
      <c r="O6" s="14"/>
    </row>
    <row r="7" spans="1:15" ht="15">
      <c r="A7" s="12" t="s">
        <v>244</v>
      </c>
      <c r="B7" s="12"/>
      <c r="C7" s="12"/>
      <c r="D7" s="13"/>
      <c r="E7" s="12"/>
      <c r="F7" s="12"/>
      <c r="G7" s="12"/>
      <c r="H7" s="12"/>
      <c r="I7" s="13"/>
      <c r="J7" s="14"/>
      <c r="K7" s="14"/>
      <c r="L7" s="14"/>
      <c r="M7" s="14"/>
      <c r="N7" s="14"/>
      <c r="O7" s="14"/>
    </row>
    <row r="8" spans="1:15" ht="15">
      <c r="A8" s="12" t="s">
        <v>245</v>
      </c>
      <c r="B8" s="12"/>
      <c r="C8" s="12"/>
      <c r="D8" s="13"/>
      <c r="E8" s="12"/>
      <c r="F8" s="12"/>
      <c r="G8" s="12"/>
      <c r="H8" s="12"/>
      <c r="I8" s="13"/>
      <c r="J8" s="14"/>
      <c r="K8" s="14"/>
      <c r="L8" s="14"/>
      <c r="M8" s="14"/>
      <c r="N8" s="14"/>
      <c r="O8" s="14"/>
    </row>
    <row r="9" spans="1:15" ht="15">
      <c r="A9" s="12" t="s">
        <v>56</v>
      </c>
      <c r="B9" s="12"/>
      <c r="C9" s="12"/>
      <c r="D9" s="13"/>
      <c r="E9" s="12"/>
      <c r="F9" s="12"/>
      <c r="G9" s="12"/>
      <c r="H9" s="12"/>
      <c r="I9" s="13"/>
      <c r="J9" s="14"/>
      <c r="K9" s="14"/>
      <c r="L9" s="14"/>
      <c r="M9" s="14"/>
      <c r="N9" s="14"/>
      <c r="O9" s="14"/>
    </row>
    <row r="10" spans="1:15" ht="12.75">
      <c r="A10" s="12" t="s">
        <v>105</v>
      </c>
      <c r="B10" s="12">
        <v>4.86</v>
      </c>
      <c r="C10" s="12">
        <v>4.36</v>
      </c>
      <c r="D10" s="13">
        <v>4.35</v>
      </c>
      <c r="E10" s="12">
        <v>4.56</v>
      </c>
      <c r="F10" s="12">
        <v>4.67</v>
      </c>
      <c r="G10" s="12">
        <v>4.48</v>
      </c>
      <c r="H10" s="12">
        <v>4.59</v>
      </c>
      <c r="I10" s="13">
        <v>4.38</v>
      </c>
      <c r="J10" s="14">
        <v>4.26</v>
      </c>
      <c r="K10" s="14">
        <v>4.45</v>
      </c>
      <c r="L10" s="14">
        <v>4.35</v>
      </c>
      <c r="M10" s="14">
        <v>4.53</v>
      </c>
      <c r="N10" s="14">
        <v>4.37</v>
      </c>
      <c r="O10" s="14">
        <v>4.49</v>
      </c>
    </row>
    <row r="11" spans="1:15" ht="12.75">
      <c r="A11" s="12" t="s">
        <v>106</v>
      </c>
      <c r="B11" s="12"/>
      <c r="C11" s="12"/>
      <c r="D11" s="13"/>
      <c r="E11" s="12"/>
      <c r="F11" s="12"/>
      <c r="G11" s="12"/>
      <c r="H11" s="12"/>
      <c r="I11" s="13"/>
      <c r="J11" s="14"/>
      <c r="K11" s="14"/>
      <c r="L11" s="14"/>
      <c r="M11" s="14"/>
      <c r="N11" s="14"/>
      <c r="O11" s="14"/>
    </row>
    <row r="12" spans="1:15" ht="12.75">
      <c r="A12" s="12" t="s">
        <v>108</v>
      </c>
      <c r="B12" s="12"/>
      <c r="C12" s="12"/>
      <c r="D12" s="13"/>
      <c r="E12" s="12"/>
      <c r="F12" s="12"/>
      <c r="G12" s="12"/>
      <c r="H12" s="12"/>
      <c r="I12" s="13"/>
      <c r="J12" s="14"/>
      <c r="K12" s="14"/>
      <c r="L12" s="14"/>
      <c r="M12" s="14"/>
      <c r="N12" s="14"/>
      <c r="O12" s="14"/>
    </row>
    <row r="13" spans="1:15" ht="12.75">
      <c r="A13" s="12" t="s">
        <v>107</v>
      </c>
      <c r="B13" s="12"/>
      <c r="C13" s="12">
        <v>16.4</v>
      </c>
      <c r="D13" s="13">
        <v>16.3</v>
      </c>
      <c r="E13" s="12">
        <v>16.2</v>
      </c>
      <c r="F13" s="12">
        <v>16.2</v>
      </c>
      <c r="G13" s="12">
        <v>16.4</v>
      </c>
      <c r="H13" s="12">
        <v>16.2</v>
      </c>
      <c r="I13" s="13">
        <v>16.4</v>
      </c>
      <c r="J13" s="14">
        <v>16.1</v>
      </c>
      <c r="K13" s="14">
        <v>16.4</v>
      </c>
      <c r="L13" s="14">
        <v>16.3</v>
      </c>
      <c r="M13" s="14">
        <v>16.1</v>
      </c>
      <c r="N13" s="14">
        <v>16.1</v>
      </c>
      <c r="O13" s="14">
        <v>16.4</v>
      </c>
    </row>
    <row r="14" spans="1:15" ht="15">
      <c r="A14" s="12" t="s">
        <v>57</v>
      </c>
      <c r="B14" s="12">
        <v>0.4</v>
      </c>
      <c r="C14" s="12">
        <v>0.354</v>
      </c>
      <c r="D14" s="13">
        <v>0.35</v>
      </c>
      <c r="E14" s="12">
        <v>0.352</v>
      </c>
      <c r="F14" s="12">
        <v>0.353</v>
      </c>
      <c r="G14" s="12">
        <v>0.356</v>
      </c>
      <c r="H14" s="12">
        <v>0.355</v>
      </c>
      <c r="I14" s="13">
        <v>0.356</v>
      </c>
      <c r="J14" s="14">
        <v>0.351</v>
      </c>
      <c r="K14" s="14">
        <v>0.353</v>
      </c>
      <c r="L14" s="14">
        <v>0.354</v>
      </c>
      <c r="M14" s="14">
        <v>0.357</v>
      </c>
      <c r="N14" s="14">
        <v>0.355</v>
      </c>
      <c r="O14" s="14">
        <v>0.361</v>
      </c>
    </row>
    <row r="15" spans="1:15" ht="15">
      <c r="A15" s="12" t="s">
        <v>58</v>
      </c>
      <c r="B15" s="12">
        <v>0.021</v>
      </c>
      <c r="C15" s="12"/>
      <c r="D15" s="13"/>
      <c r="E15" s="12"/>
      <c r="F15" s="12"/>
      <c r="G15" s="12"/>
      <c r="H15" s="12"/>
      <c r="I15" s="13"/>
      <c r="J15" s="14"/>
      <c r="K15" s="14"/>
      <c r="L15" s="14"/>
      <c r="M15" s="14"/>
      <c r="N15" s="14"/>
      <c r="O15" s="14"/>
    </row>
    <row r="16" spans="1:15" ht="15">
      <c r="A16" s="12" t="s">
        <v>59</v>
      </c>
      <c r="B16" s="12"/>
      <c r="C16" s="12"/>
      <c r="D16" s="13"/>
      <c r="E16" s="12"/>
      <c r="F16" s="12"/>
      <c r="G16" s="12"/>
      <c r="H16" s="12"/>
      <c r="I16" s="13"/>
      <c r="J16" s="14"/>
      <c r="K16" s="14"/>
      <c r="L16" s="14"/>
      <c r="M16" s="14"/>
      <c r="N16" s="14"/>
      <c r="O16" s="14"/>
    </row>
    <row r="17" spans="1:15" ht="12.75">
      <c r="A17" s="12" t="s">
        <v>181</v>
      </c>
      <c r="B17" s="12"/>
      <c r="C17" s="12"/>
      <c r="D17" s="13"/>
      <c r="E17" s="12"/>
      <c r="F17" s="12"/>
      <c r="G17" s="12"/>
      <c r="H17" s="12"/>
      <c r="I17" s="13"/>
      <c r="J17" s="14"/>
      <c r="K17" s="14"/>
      <c r="L17" s="14"/>
      <c r="M17" s="14"/>
      <c r="N17" s="14"/>
      <c r="O17" s="14"/>
    </row>
    <row r="18" spans="1:15" ht="12.75">
      <c r="A18" s="12" t="s">
        <v>109</v>
      </c>
      <c r="B18" s="12"/>
      <c r="C18" s="12"/>
      <c r="D18" s="13"/>
      <c r="E18" s="12"/>
      <c r="F18" s="12"/>
      <c r="G18" s="12"/>
      <c r="H18" s="12"/>
      <c r="I18" s="13"/>
      <c r="J18" s="14"/>
      <c r="K18" s="14"/>
      <c r="L18" s="14"/>
      <c r="M18" s="14"/>
      <c r="N18" s="14"/>
      <c r="O18" s="14"/>
    </row>
    <row r="19" spans="1:15" ht="12.75">
      <c r="A19" s="12"/>
      <c r="B19" s="12"/>
      <c r="C19" s="12"/>
      <c r="D19" s="13"/>
      <c r="E19" s="12"/>
      <c r="F19" s="12"/>
      <c r="G19" s="12"/>
      <c r="H19" s="12"/>
      <c r="I19" s="13"/>
      <c r="J19" s="14"/>
      <c r="K19" s="14"/>
      <c r="L19" s="14"/>
      <c r="M19" s="14"/>
      <c r="N19" s="14"/>
      <c r="O19" s="14"/>
    </row>
    <row r="20" spans="1:15" ht="12.75">
      <c r="A20" s="12" t="s">
        <v>163</v>
      </c>
      <c r="B20" s="12">
        <v>7.81</v>
      </c>
      <c r="C20" s="12">
        <v>7.62</v>
      </c>
      <c r="D20" s="13">
        <v>7.59</v>
      </c>
      <c r="E20" s="12">
        <v>7.96</v>
      </c>
      <c r="F20" s="12">
        <v>7.97</v>
      </c>
      <c r="G20" s="12">
        <v>7.77</v>
      </c>
      <c r="H20" s="12">
        <v>8.25</v>
      </c>
      <c r="I20" s="13">
        <v>7.67</v>
      </c>
      <c r="J20" s="14">
        <v>7.33</v>
      </c>
      <c r="K20" s="14">
        <v>7.64</v>
      </c>
      <c r="L20" s="14">
        <v>7.49</v>
      </c>
      <c r="M20" s="14">
        <v>7.9</v>
      </c>
      <c r="N20" s="14">
        <v>7.57</v>
      </c>
      <c r="O20" s="14">
        <v>7.88</v>
      </c>
    </row>
    <row r="21" spans="1:15" ht="12.75">
      <c r="A21" s="12" t="s">
        <v>110</v>
      </c>
      <c r="B21" s="12"/>
      <c r="C21" s="12"/>
      <c r="D21" s="13"/>
      <c r="E21" s="12"/>
      <c r="F21" s="12"/>
      <c r="G21" s="12"/>
      <c r="H21" s="12"/>
      <c r="I21" s="13"/>
      <c r="J21" s="14"/>
      <c r="K21" s="14"/>
      <c r="L21" s="14"/>
      <c r="M21" s="14"/>
      <c r="N21" s="14"/>
      <c r="O21" s="14"/>
    </row>
    <row r="22" spans="1:15" ht="12.75">
      <c r="A22" s="12" t="s">
        <v>111</v>
      </c>
      <c r="B22" s="12">
        <v>626</v>
      </c>
      <c r="C22" s="12">
        <v>599</v>
      </c>
      <c r="D22" s="13">
        <v>603</v>
      </c>
      <c r="E22" s="12">
        <v>645</v>
      </c>
      <c r="F22" s="12">
        <v>652</v>
      </c>
      <c r="G22" s="12">
        <v>599</v>
      </c>
      <c r="H22" s="12">
        <v>597</v>
      </c>
      <c r="I22" s="13">
        <v>574</v>
      </c>
      <c r="J22" s="14">
        <v>568</v>
      </c>
      <c r="K22" s="14">
        <v>607</v>
      </c>
      <c r="L22" s="14">
        <v>595</v>
      </c>
      <c r="M22" s="14">
        <v>606</v>
      </c>
      <c r="N22" s="14">
        <v>571</v>
      </c>
      <c r="O22" s="14">
        <v>617</v>
      </c>
    </row>
    <row r="23" spans="1:15" ht="12.75">
      <c r="A23" s="12" t="s">
        <v>112</v>
      </c>
      <c r="B23" s="12">
        <v>25.1</v>
      </c>
      <c r="C23" s="12">
        <v>23.7</v>
      </c>
      <c r="D23" s="13">
        <v>22.9</v>
      </c>
      <c r="E23" s="12">
        <v>22.5</v>
      </c>
      <c r="F23" s="12">
        <v>23</v>
      </c>
      <c r="G23" s="12">
        <v>22.8</v>
      </c>
      <c r="H23" s="12">
        <v>20.7</v>
      </c>
      <c r="I23" s="13">
        <v>18.5</v>
      </c>
      <c r="J23" s="14">
        <v>22.5</v>
      </c>
      <c r="K23" s="14">
        <v>23.4</v>
      </c>
      <c r="L23" s="14">
        <v>21.5</v>
      </c>
      <c r="M23" s="14">
        <v>21.6</v>
      </c>
      <c r="N23" s="14">
        <v>22.3</v>
      </c>
      <c r="O23" s="14">
        <v>22.2</v>
      </c>
    </row>
    <row r="24" spans="1:15" ht="12.75">
      <c r="A24" s="12" t="s">
        <v>113</v>
      </c>
      <c r="B24" s="12">
        <v>365</v>
      </c>
      <c r="C24" s="12">
        <v>326</v>
      </c>
      <c r="D24" s="13">
        <v>302</v>
      </c>
      <c r="E24" s="12">
        <v>294</v>
      </c>
      <c r="F24" s="12">
        <v>306</v>
      </c>
      <c r="G24" s="12">
        <v>311</v>
      </c>
      <c r="H24" s="12">
        <v>274</v>
      </c>
      <c r="I24" s="13">
        <v>226</v>
      </c>
      <c r="J24" s="14">
        <v>311</v>
      </c>
      <c r="K24" s="14">
        <v>335</v>
      </c>
      <c r="L24" s="14">
        <v>279</v>
      </c>
      <c r="M24" s="14">
        <v>266</v>
      </c>
      <c r="N24" s="14">
        <v>314</v>
      </c>
      <c r="O24" s="14">
        <v>296</v>
      </c>
    </row>
    <row r="25" spans="1:15" ht="12.75">
      <c r="A25" s="12" t="s">
        <v>114</v>
      </c>
      <c r="B25" s="12"/>
      <c r="C25" s="12"/>
      <c r="D25" s="13"/>
      <c r="E25" s="12"/>
      <c r="F25" s="12"/>
      <c r="G25" s="12"/>
      <c r="H25" s="12"/>
      <c r="I25" s="13"/>
      <c r="J25" s="14"/>
      <c r="K25" s="14"/>
      <c r="L25" s="14"/>
      <c r="M25" s="14"/>
      <c r="N25" s="14"/>
      <c r="O25" s="14"/>
    </row>
    <row r="26" spans="1:15" ht="12.75">
      <c r="A26" s="12" t="s">
        <v>115</v>
      </c>
      <c r="B26" s="12">
        <v>15.8</v>
      </c>
      <c r="C26" s="12"/>
      <c r="D26" s="13"/>
      <c r="E26" s="12"/>
      <c r="F26" s="12"/>
      <c r="G26" s="12"/>
      <c r="H26" s="12"/>
      <c r="I26" s="13"/>
      <c r="J26" s="14"/>
      <c r="K26" s="14"/>
      <c r="L26" s="14"/>
      <c r="M26" s="14"/>
      <c r="N26" s="14"/>
      <c r="O26" s="14"/>
    </row>
    <row r="27" spans="1:15" ht="12.75">
      <c r="A27" s="12" t="s">
        <v>116</v>
      </c>
      <c r="B27" s="12">
        <v>4.6</v>
      </c>
      <c r="C27" s="12"/>
      <c r="D27" s="13"/>
      <c r="E27" s="12"/>
      <c r="F27" s="12"/>
      <c r="G27" s="12"/>
      <c r="H27" s="12"/>
      <c r="I27" s="13"/>
      <c r="J27" s="14"/>
      <c r="K27" s="14"/>
      <c r="L27" s="14"/>
      <c r="M27" s="14"/>
      <c r="N27" s="14"/>
      <c r="O27" s="14"/>
    </row>
    <row r="28" spans="1:15" ht="12.75">
      <c r="A28" s="12" t="s">
        <v>117</v>
      </c>
      <c r="B28" s="12"/>
      <c r="C28" s="12"/>
      <c r="D28" s="13"/>
      <c r="E28" s="12"/>
      <c r="F28" s="12"/>
      <c r="G28" s="12"/>
      <c r="H28" s="12"/>
      <c r="I28" s="13"/>
      <c r="J28" s="14"/>
      <c r="K28" s="14"/>
      <c r="L28" s="14"/>
      <c r="M28" s="14"/>
      <c r="N28" s="14"/>
      <c r="O28" s="14"/>
    </row>
    <row r="29" spans="1:15" ht="12.75">
      <c r="A29" s="12" t="s">
        <v>118</v>
      </c>
      <c r="B29" s="12">
        <v>0.11</v>
      </c>
      <c r="C29" s="12"/>
      <c r="D29" s="13"/>
      <c r="E29" s="12"/>
      <c r="F29" s="12"/>
      <c r="G29" s="12"/>
      <c r="H29" s="12"/>
      <c r="I29" s="13"/>
      <c r="J29" s="14"/>
      <c r="K29" s="14"/>
      <c r="L29" s="14"/>
      <c r="M29" s="14"/>
      <c r="N29" s="14"/>
      <c r="O29" s="14"/>
    </row>
    <row r="30" spans="1:15" ht="12.75">
      <c r="A30" s="12" t="s">
        <v>119</v>
      </c>
      <c r="B30" s="12">
        <v>0.18</v>
      </c>
      <c r="C30" s="12"/>
      <c r="D30" s="13"/>
      <c r="E30" s="12"/>
      <c r="F30" s="12"/>
      <c r="G30" s="12"/>
      <c r="H30" s="12"/>
      <c r="I30" s="13"/>
      <c r="J30" s="14"/>
      <c r="K30" s="14"/>
      <c r="L30" s="14"/>
      <c r="M30" s="14"/>
      <c r="N30" s="14"/>
      <c r="O30" s="14"/>
    </row>
    <row r="31" spans="1:15" ht="12.75">
      <c r="A31" s="12" t="s">
        <v>120</v>
      </c>
      <c r="B31" s="12">
        <v>1.1</v>
      </c>
      <c r="C31" s="12"/>
      <c r="D31" s="13"/>
      <c r="E31" s="12">
        <v>2.2</v>
      </c>
      <c r="F31" s="12">
        <v>1.3</v>
      </c>
      <c r="G31" s="12">
        <v>2.5</v>
      </c>
      <c r="H31" s="12">
        <v>2.1</v>
      </c>
      <c r="I31" s="13">
        <v>1.2</v>
      </c>
      <c r="J31" s="14">
        <v>1.5</v>
      </c>
      <c r="K31" s="14">
        <v>1.7</v>
      </c>
      <c r="L31" s="14">
        <v>1.8</v>
      </c>
      <c r="M31" s="14">
        <v>1.9</v>
      </c>
      <c r="N31" s="14">
        <v>1</v>
      </c>
      <c r="O31" s="14">
        <v>1.1</v>
      </c>
    </row>
    <row r="32" spans="1:15" ht="12.75">
      <c r="A32" s="12" t="s">
        <v>60</v>
      </c>
      <c r="B32" s="12">
        <v>167</v>
      </c>
      <c r="C32" s="12"/>
      <c r="D32" s="13"/>
      <c r="E32" s="12">
        <v>160</v>
      </c>
      <c r="F32" s="12">
        <v>161</v>
      </c>
      <c r="G32" s="12">
        <v>154</v>
      </c>
      <c r="H32" s="12">
        <v>143</v>
      </c>
      <c r="I32" s="13">
        <v>162</v>
      </c>
      <c r="J32" s="14">
        <v>156</v>
      </c>
      <c r="K32" s="14">
        <v>161</v>
      </c>
      <c r="L32" s="14">
        <v>157</v>
      </c>
      <c r="M32" s="14">
        <v>160</v>
      </c>
      <c r="N32" s="14">
        <v>162</v>
      </c>
      <c r="O32" s="14">
        <v>157</v>
      </c>
    </row>
    <row r="33" spans="1:15" ht="12.75">
      <c r="A33" s="12" t="s">
        <v>122</v>
      </c>
      <c r="B33" s="12"/>
      <c r="C33" s="12"/>
      <c r="D33" s="13"/>
      <c r="E33" s="12"/>
      <c r="F33" s="12"/>
      <c r="G33" s="12"/>
      <c r="H33" s="12"/>
      <c r="I33" s="13"/>
      <c r="J33" s="14"/>
      <c r="K33" s="14"/>
      <c r="L33" s="14"/>
      <c r="M33" s="14"/>
      <c r="N33" s="14"/>
      <c r="O33" s="14"/>
    </row>
    <row r="34" spans="1:15" ht="12.75">
      <c r="A34" s="12" t="s">
        <v>123</v>
      </c>
      <c r="B34" s="12">
        <v>72</v>
      </c>
      <c r="C34" s="12"/>
      <c r="D34" s="13"/>
      <c r="E34" s="12">
        <v>46</v>
      </c>
      <c r="F34" s="12">
        <v>46</v>
      </c>
      <c r="G34" s="12">
        <v>45</v>
      </c>
      <c r="H34" s="12">
        <v>47</v>
      </c>
      <c r="I34" s="13">
        <v>42</v>
      </c>
      <c r="J34" s="14">
        <v>43</v>
      </c>
      <c r="K34" s="14">
        <v>51</v>
      </c>
      <c r="L34" s="14">
        <v>52</v>
      </c>
      <c r="M34" s="14">
        <v>57</v>
      </c>
      <c r="N34" s="14">
        <v>40</v>
      </c>
      <c r="O34" s="14">
        <v>40</v>
      </c>
    </row>
    <row r="35" spans="1:15" ht="12.75">
      <c r="A35" s="12" t="s">
        <v>124</v>
      </c>
      <c r="B35" s="12"/>
      <c r="C35" s="12"/>
      <c r="D35" s="13"/>
      <c r="E35" s="12"/>
      <c r="F35" s="12"/>
      <c r="G35" s="12"/>
      <c r="H35" s="12"/>
      <c r="I35" s="13"/>
      <c r="J35" s="14"/>
      <c r="K35" s="14"/>
      <c r="L35" s="14"/>
      <c r="M35" s="14"/>
      <c r="N35" s="14"/>
      <c r="O35" s="14"/>
    </row>
    <row r="36" spans="1:15" ht="12.75">
      <c r="A36" s="12" t="s">
        <v>125</v>
      </c>
      <c r="B36" s="12"/>
      <c r="C36" s="12"/>
      <c r="D36" s="13"/>
      <c r="E36" s="12"/>
      <c r="F36" s="12"/>
      <c r="G36" s="12"/>
      <c r="H36" s="12"/>
      <c r="I36" s="13"/>
      <c r="J36" s="14"/>
      <c r="K36" s="14"/>
      <c r="L36" s="14"/>
      <c r="M36" s="14"/>
      <c r="N36" s="14"/>
      <c r="O36" s="14"/>
    </row>
    <row r="37" spans="1:15" ht="12.75">
      <c r="A37" s="12" t="s">
        <v>167</v>
      </c>
      <c r="B37" s="12"/>
      <c r="C37" s="12"/>
      <c r="D37" s="13"/>
      <c r="E37" s="12"/>
      <c r="F37" s="12"/>
      <c r="G37" s="12"/>
      <c r="H37" s="12"/>
      <c r="I37" s="13"/>
      <c r="J37" s="14"/>
      <c r="K37" s="14"/>
      <c r="L37" s="14"/>
      <c r="M37" s="14"/>
      <c r="N37" s="14"/>
      <c r="O37" s="14"/>
    </row>
    <row r="38" spans="1:15" ht="12.75">
      <c r="A38" s="12" t="s">
        <v>168</v>
      </c>
      <c r="B38" s="12"/>
      <c r="C38" s="12"/>
      <c r="D38" s="13"/>
      <c r="E38" s="12"/>
      <c r="F38" s="12"/>
      <c r="G38" s="12"/>
      <c r="H38" s="12"/>
      <c r="I38" s="13"/>
      <c r="J38" s="14"/>
      <c r="K38" s="14"/>
      <c r="L38" s="14"/>
      <c r="M38" s="14"/>
      <c r="N38" s="14"/>
      <c r="O38" s="14"/>
    </row>
    <row r="39" spans="1:15" ht="12.75">
      <c r="A39" s="12" t="s">
        <v>126</v>
      </c>
      <c r="B39" s="12"/>
      <c r="C39" s="12"/>
      <c r="D39" s="13"/>
      <c r="E39" s="12"/>
      <c r="F39" s="12"/>
      <c r="G39" s="12"/>
      <c r="H39" s="12"/>
      <c r="I39" s="13"/>
      <c r="J39" s="14"/>
      <c r="K39" s="14"/>
      <c r="L39" s="14"/>
      <c r="M39" s="14"/>
      <c r="N39" s="14"/>
      <c r="O39" s="14"/>
    </row>
    <row r="40" spans="1:15" ht="12.75">
      <c r="A40" s="12" t="s">
        <v>127</v>
      </c>
      <c r="B40" s="12">
        <v>30</v>
      </c>
      <c r="C40" s="12"/>
      <c r="D40" s="13"/>
      <c r="E40" s="12"/>
      <c r="F40" s="12"/>
      <c r="G40" s="12"/>
      <c r="H40" s="12"/>
      <c r="I40" s="13"/>
      <c r="J40" s="14"/>
      <c r="K40" s="14"/>
      <c r="L40" s="14"/>
      <c r="M40" s="14"/>
      <c r="N40" s="14"/>
      <c r="O40" s="14"/>
    </row>
    <row r="41" spans="1:15" ht="12.75">
      <c r="A41" s="12" t="s">
        <v>128</v>
      </c>
      <c r="B41" s="12"/>
      <c r="C41" s="12"/>
      <c r="D41" s="13"/>
      <c r="E41" s="12"/>
      <c r="F41" s="12"/>
      <c r="G41" s="12"/>
      <c r="H41" s="12"/>
      <c r="I41" s="13"/>
      <c r="J41" s="14"/>
      <c r="K41" s="14"/>
      <c r="L41" s="14"/>
      <c r="M41" s="14"/>
      <c r="N41" s="14"/>
      <c r="O41" s="14"/>
    </row>
    <row r="42" spans="1:15" ht="12.75">
      <c r="A42" s="12" t="s">
        <v>129</v>
      </c>
      <c r="B42" s="12"/>
      <c r="C42" s="12"/>
      <c r="D42" s="13"/>
      <c r="E42" s="12"/>
      <c r="F42" s="12"/>
      <c r="G42" s="12"/>
      <c r="H42" s="12"/>
      <c r="I42" s="13"/>
      <c r="J42" s="14"/>
      <c r="K42" s="14"/>
      <c r="L42" s="14"/>
      <c r="M42" s="14"/>
      <c r="N42" s="14"/>
      <c r="O42" s="14"/>
    </row>
    <row r="43" spans="1:15" ht="12.75">
      <c r="A43" s="12" t="s">
        <v>164</v>
      </c>
      <c r="B43" s="12"/>
      <c r="C43" s="12"/>
      <c r="D43" s="13"/>
      <c r="E43" s="12"/>
      <c r="F43" s="12"/>
      <c r="G43" s="12"/>
      <c r="H43" s="12"/>
      <c r="I43" s="13"/>
      <c r="J43" s="14"/>
      <c r="K43" s="14"/>
      <c r="L43" s="14"/>
      <c r="M43" s="14"/>
      <c r="N43" s="14"/>
      <c r="O43" s="14"/>
    </row>
    <row r="44" spans="1:15" ht="12.75">
      <c r="A44" s="12" t="s">
        <v>130</v>
      </c>
      <c r="B44" s="12">
        <v>42</v>
      </c>
      <c r="C44" s="12"/>
      <c r="D44" s="13"/>
      <c r="E44" s="12"/>
      <c r="F44" s="12"/>
      <c r="G44" s="12"/>
      <c r="H44" s="12"/>
      <c r="I44" s="13"/>
      <c r="J44" s="14"/>
      <c r="K44" s="14"/>
      <c r="L44" s="14"/>
      <c r="M44" s="14"/>
      <c r="N44" s="14"/>
      <c r="O44" s="14"/>
    </row>
    <row r="45" spans="1:15" ht="12.75">
      <c r="A45" s="12" t="s">
        <v>131</v>
      </c>
      <c r="B45" s="12"/>
      <c r="C45" s="12"/>
      <c r="D45" s="13"/>
      <c r="E45" s="12"/>
      <c r="F45" s="12"/>
      <c r="G45" s="12"/>
      <c r="H45" s="12"/>
      <c r="I45" s="13"/>
      <c r="J45" s="14"/>
      <c r="K45" s="14"/>
      <c r="L45" s="14"/>
      <c r="M45" s="14"/>
      <c r="N45" s="14"/>
      <c r="O45" s="14"/>
    </row>
    <row r="46" spans="1:15" ht="12.75">
      <c r="A46" s="12" t="s">
        <v>132</v>
      </c>
      <c r="B46" s="12">
        <v>0.049</v>
      </c>
      <c r="C46" s="12"/>
      <c r="D46" s="13"/>
      <c r="E46" s="12">
        <v>0.032</v>
      </c>
      <c r="F46" s="12">
        <v>0.043</v>
      </c>
      <c r="G46" s="12">
        <v>0.07</v>
      </c>
      <c r="H46" s="12">
        <v>0</v>
      </c>
      <c r="I46" s="13">
        <v>0.04</v>
      </c>
      <c r="J46" s="14">
        <v>0.035</v>
      </c>
      <c r="K46" s="14">
        <v>0.039</v>
      </c>
      <c r="L46" s="14">
        <v>0.038</v>
      </c>
      <c r="M46" s="14">
        <v>0.02</v>
      </c>
      <c r="N46" s="14">
        <v>0.037</v>
      </c>
      <c r="O46" s="14">
        <v>0.049</v>
      </c>
    </row>
    <row r="47" spans="1:15" ht="12.75">
      <c r="A47" s="12" t="s">
        <v>133</v>
      </c>
      <c r="B47" s="12">
        <v>51</v>
      </c>
      <c r="C47" s="12"/>
      <c r="D47" s="13"/>
      <c r="E47" s="12">
        <v>39</v>
      </c>
      <c r="F47" s="12">
        <v>46</v>
      </c>
      <c r="G47" s="12">
        <v>48</v>
      </c>
      <c r="H47" s="12">
        <v>40</v>
      </c>
      <c r="I47" s="13">
        <v>33</v>
      </c>
      <c r="J47" s="14">
        <v>40</v>
      </c>
      <c r="K47" s="14">
        <v>40</v>
      </c>
      <c r="L47" s="14">
        <v>43</v>
      </c>
      <c r="M47" s="14">
        <v>47</v>
      </c>
      <c r="N47" s="14">
        <v>37</v>
      </c>
      <c r="O47" s="14">
        <v>44</v>
      </c>
    </row>
    <row r="48" spans="1:15" ht="12.75">
      <c r="A48" s="12" t="s">
        <v>134</v>
      </c>
      <c r="B48" s="12">
        <v>4.04</v>
      </c>
      <c r="C48" s="12">
        <v>3.22</v>
      </c>
      <c r="D48" s="13">
        <v>3.33</v>
      </c>
      <c r="E48" s="12">
        <v>3.13</v>
      </c>
      <c r="F48" s="12">
        <v>4.31</v>
      </c>
      <c r="G48" s="12">
        <v>3.24</v>
      </c>
      <c r="H48" s="12">
        <v>3.27</v>
      </c>
      <c r="I48" s="13">
        <v>2.64</v>
      </c>
      <c r="J48" s="14">
        <v>3.17</v>
      </c>
      <c r="K48" s="14">
        <v>3.25</v>
      </c>
      <c r="L48" s="14">
        <v>3.57</v>
      </c>
      <c r="M48" s="14">
        <v>3.67</v>
      </c>
      <c r="N48" s="14">
        <v>3.17</v>
      </c>
      <c r="O48" s="14">
        <v>3.3</v>
      </c>
    </row>
    <row r="49" spans="1:15" ht="12.75">
      <c r="A49" s="12" t="s">
        <v>135</v>
      </c>
      <c r="B49" s="12">
        <v>9.63</v>
      </c>
      <c r="C49" s="12"/>
      <c r="D49" s="13"/>
      <c r="E49" s="12">
        <v>8.07</v>
      </c>
      <c r="F49" s="12">
        <v>11.32</v>
      </c>
      <c r="G49" s="12">
        <v>8.37</v>
      </c>
      <c r="H49" s="12">
        <v>8.6</v>
      </c>
      <c r="I49" s="13">
        <v>6.94</v>
      </c>
      <c r="J49" s="13">
        <v>8.16</v>
      </c>
      <c r="K49" s="13">
        <v>8.36</v>
      </c>
      <c r="L49" s="14">
        <v>9.36</v>
      </c>
      <c r="M49" s="14">
        <v>9.79</v>
      </c>
      <c r="N49" s="14">
        <v>8.24</v>
      </c>
      <c r="O49" s="14">
        <v>8.5</v>
      </c>
    </row>
    <row r="50" spans="1:15" ht="12.75">
      <c r="A50" s="12" t="s">
        <v>136</v>
      </c>
      <c r="B50" s="12"/>
      <c r="C50" s="12"/>
      <c r="D50" s="13"/>
      <c r="E50" s="12"/>
      <c r="F50" s="12"/>
      <c r="G50" s="12"/>
      <c r="H50" s="12"/>
      <c r="I50" s="13"/>
      <c r="J50" s="14"/>
      <c r="K50" s="14"/>
      <c r="L50" s="14"/>
      <c r="M50" s="14"/>
      <c r="N50" s="14"/>
      <c r="O50" s="14"/>
    </row>
    <row r="51" spans="1:15" ht="12.75">
      <c r="A51" s="12" t="s">
        <v>137</v>
      </c>
      <c r="B51" s="12">
        <v>5.55</v>
      </c>
      <c r="C51" s="12"/>
      <c r="D51" s="13"/>
      <c r="E51" s="12">
        <v>4.9</v>
      </c>
      <c r="F51" s="12">
        <v>6.9</v>
      </c>
      <c r="G51" s="12">
        <v>4.6</v>
      </c>
      <c r="H51" s="12">
        <v>5</v>
      </c>
      <c r="I51" s="13">
        <v>4.3</v>
      </c>
      <c r="J51" s="14">
        <v>5.1</v>
      </c>
      <c r="K51" s="14">
        <v>5.3</v>
      </c>
      <c r="L51" s="14">
        <v>5.5</v>
      </c>
      <c r="M51" s="14">
        <v>4.9</v>
      </c>
      <c r="N51" s="14">
        <v>5.5</v>
      </c>
      <c r="O51" s="14">
        <v>5.5</v>
      </c>
    </row>
    <row r="52" spans="1:15" ht="12.75">
      <c r="A52" s="12" t="s">
        <v>138</v>
      </c>
      <c r="B52" s="12">
        <v>1.61</v>
      </c>
      <c r="C52" s="12">
        <v>1.52</v>
      </c>
      <c r="D52" s="13">
        <v>1.54</v>
      </c>
      <c r="E52" s="12">
        <v>1.519</v>
      </c>
      <c r="F52" s="12">
        <v>2.12</v>
      </c>
      <c r="G52" s="12">
        <v>1.556</v>
      </c>
      <c r="H52" s="12">
        <v>1.599</v>
      </c>
      <c r="I52" s="13">
        <v>1.266</v>
      </c>
      <c r="J52" s="14">
        <v>1.525</v>
      </c>
      <c r="K52" s="14">
        <v>1.558</v>
      </c>
      <c r="L52" s="14">
        <v>1.743</v>
      </c>
      <c r="M52" s="14">
        <v>1.771</v>
      </c>
      <c r="N52" s="14">
        <v>1.538</v>
      </c>
      <c r="O52" s="14">
        <v>1.582</v>
      </c>
    </row>
    <row r="53" spans="1:15" ht="12.75">
      <c r="A53" s="12" t="s">
        <v>139</v>
      </c>
      <c r="B53" s="12">
        <v>0.86</v>
      </c>
      <c r="C53" s="12">
        <v>0.83</v>
      </c>
      <c r="D53" s="13">
        <v>0.82</v>
      </c>
      <c r="E53" s="12">
        <v>0.832</v>
      </c>
      <c r="F53" s="12">
        <v>0.835</v>
      </c>
      <c r="G53" s="12">
        <v>0.841</v>
      </c>
      <c r="H53" s="12">
        <v>0.819</v>
      </c>
      <c r="I53" s="13">
        <v>0.814</v>
      </c>
      <c r="J53" s="14">
        <v>0.818</v>
      </c>
      <c r="K53" s="14">
        <v>0.828</v>
      </c>
      <c r="L53" s="14">
        <v>0.834</v>
      </c>
      <c r="M53" s="14">
        <v>0.847</v>
      </c>
      <c r="N53" s="14">
        <v>0.822</v>
      </c>
      <c r="O53" s="14">
        <v>0.835</v>
      </c>
    </row>
    <row r="54" spans="1:15" ht="12.75">
      <c r="A54" s="12" t="s">
        <v>140</v>
      </c>
      <c r="B54" s="12">
        <v>2.1</v>
      </c>
      <c r="C54" s="12"/>
      <c r="D54" s="13"/>
      <c r="E54" s="12"/>
      <c r="F54" s="12"/>
      <c r="G54" s="12"/>
      <c r="H54" s="12"/>
      <c r="I54" s="13"/>
      <c r="J54" s="14"/>
      <c r="K54" s="14"/>
      <c r="L54" s="14"/>
      <c r="M54" s="14"/>
      <c r="N54" s="14"/>
      <c r="O54" s="14"/>
    </row>
    <row r="55" spans="1:15" ht="12.75">
      <c r="A55" s="12" t="s">
        <v>141</v>
      </c>
      <c r="B55" s="12">
        <v>0.41</v>
      </c>
      <c r="C55" s="12"/>
      <c r="D55" s="13"/>
      <c r="E55" s="12">
        <v>0.301</v>
      </c>
      <c r="F55" s="12">
        <v>0.409</v>
      </c>
      <c r="G55" s="12">
        <v>0.332</v>
      </c>
      <c r="H55" s="12">
        <v>0.332</v>
      </c>
      <c r="I55" s="13">
        <v>0.254</v>
      </c>
      <c r="J55" s="14">
        <v>0.295</v>
      </c>
      <c r="K55" s="14">
        <v>0.31</v>
      </c>
      <c r="L55" s="14">
        <v>0.348</v>
      </c>
      <c r="M55" s="14">
        <v>0.371</v>
      </c>
      <c r="N55" s="14">
        <v>0.311</v>
      </c>
      <c r="O55" s="14">
        <v>0.316</v>
      </c>
    </row>
    <row r="56" spans="1:15" ht="12.75">
      <c r="A56" s="12" t="s">
        <v>142</v>
      </c>
      <c r="B56" s="12">
        <v>2.47</v>
      </c>
      <c r="C56" s="12"/>
      <c r="D56" s="13"/>
      <c r="E56" s="12"/>
      <c r="F56" s="12"/>
      <c r="G56" s="12"/>
      <c r="H56" s="12"/>
      <c r="I56" s="13"/>
      <c r="J56" s="14"/>
      <c r="K56" s="14"/>
      <c r="L56" s="14"/>
      <c r="M56" s="14"/>
      <c r="N56" s="14"/>
      <c r="O56" s="14"/>
    </row>
    <row r="57" spans="1:15" ht="12.75">
      <c r="A57" s="12" t="s">
        <v>143</v>
      </c>
      <c r="B57" s="12"/>
      <c r="C57" s="12"/>
      <c r="D57" s="13"/>
      <c r="E57" s="12"/>
      <c r="F57" s="12"/>
      <c r="G57" s="12"/>
      <c r="H57" s="12"/>
      <c r="I57" s="13"/>
      <c r="J57" s="14"/>
      <c r="K57" s="14"/>
      <c r="L57" s="14"/>
      <c r="M57" s="14"/>
      <c r="N57" s="14"/>
      <c r="O57" s="14"/>
    </row>
    <row r="58" spans="1:15" ht="12.75">
      <c r="A58" s="12" t="s">
        <v>144</v>
      </c>
      <c r="B58" s="12"/>
      <c r="C58" s="12"/>
      <c r="D58" s="13"/>
      <c r="E58" s="12"/>
      <c r="F58" s="12"/>
      <c r="G58" s="12"/>
      <c r="H58" s="12"/>
      <c r="I58" s="13"/>
      <c r="J58" s="14"/>
      <c r="K58" s="14"/>
      <c r="L58" s="14"/>
      <c r="M58" s="14"/>
      <c r="N58" s="14"/>
      <c r="O58" s="14"/>
    </row>
    <row r="59" spans="1:15" ht="12.75">
      <c r="A59" s="12" t="s">
        <v>145</v>
      </c>
      <c r="B59" s="12">
        <v>0.2</v>
      </c>
      <c r="C59" s="12"/>
      <c r="D59" s="13"/>
      <c r="E59" s="12"/>
      <c r="F59" s="12"/>
      <c r="G59" s="12"/>
      <c r="H59" s="12"/>
      <c r="I59" s="13"/>
      <c r="J59" s="14"/>
      <c r="K59" s="14"/>
      <c r="L59" s="14"/>
      <c r="M59" s="14"/>
      <c r="N59" s="14"/>
      <c r="O59" s="14"/>
    </row>
    <row r="60" spans="1:15" ht="12.75">
      <c r="A60" s="12" t="s">
        <v>146</v>
      </c>
      <c r="B60" s="12">
        <v>1.27</v>
      </c>
      <c r="C60" s="12">
        <v>1.23</v>
      </c>
      <c r="D60" s="13">
        <v>1.26</v>
      </c>
      <c r="E60" s="12">
        <v>1.167</v>
      </c>
      <c r="F60" s="12">
        <v>1.385</v>
      </c>
      <c r="G60" s="12">
        <v>1.188</v>
      </c>
      <c r="H60" s="12">
        <v>1.248</v>
      </c>
      <c r="I60" s="13">
        <v>0.995</v>
      </c>
      <c r="J60" s="14">
        <v>1.143</v>
      </c>
      <c r="K60" s="14">
        <v>1.187</v>
      </c>
      <c r="L60" s="14">
        <v>1.29</v>
      </c>
      <c r="M60" s="14">
        <v>1.326</v>
      </c>
      <c r="N60" s="14">
        <v>1.163</v>
      </c>
      <c r="O60" s="14">
        <v>1.214</v>
      </c>
    </row>
    <row r="61" spans="1:15" ht="12.75">
      <c r="A61" s="12" t="s">
        <v>147</v>
      </c>
      <c r="B61" s="12">
        <v>0.19</v>
      </c>
      <c r="C61" s="12"/>
      <c r="D61" s="13"/>
      <c r="E61" s="12">
        <v>0.162</v>
      </c>
      <c r="F61" s="12">
        <v>0.188</v>
      </c>
      <c r="G61" s="12">
        <v>0.169</v>
      </c>
      <c r="H61" s="12">
        <v>0.178</v>
      </c>
      <c r="I61" s="13">
        <v>0.142</v>
      </c>
      <c r="J61" s="14">
        <v>0.16</v>
      </c>
      <c r="K61" s="14">
        <v>0.164</v>
      </c>
      <c r="L61" s="14">
        <v>0.179</v>
      </c>
      <c r="M61" s="14">
        <v>0.187</v>
      </c>
      <c r="N61" s="14">
        <v>0.162</v>
      </c>
      <c r="O61" s="14">
        <v>0.171</v>
      </c>
    </row>
    <row r="62" spans="1:15" ht="12.75">
      <c r="A62" s="12" t="s">
        <v>148</v>
      </c>
      <c r="B62" s="12">
        <v>1.24</v>
      </c>
      <c r="C62" s="12">
        <v>1.13</v>
      </c>
      <c r="D62" s="13">
        <v>1.32</v>
      </c>
      <c r="E62" s="12">
        <v>1.15</v>
      </c>
      <c r="F62" s="12">
        <v>1.19</v>
      </c>
      <c r="G62" s="12">
        <v>1.15</v>
      </c>
      <c r="H62" s="12">
        <v>1.28</v>
      </c>
      <c r="I62" s="13">
        <v>0.93</v>
      </c>
      <c r="J62" s="14">
        <v>1.12</v>
      </c>
      <c r="K62" s="14">
        <v>1.16</v>
      </c>
      <c r="L62" s="14">
        <v>1.25</v>
      </c>
      <c r="M62" s="14">
        <v>1.37</v>
      </c>
      <c r="N62" s="14">
        <v>1.13</v>
      </c>
      <c r="O62" s="14">
        <v>1.17</v>
      </c>
    </row>
    <row r="63" spans="1:15" ht="12.75">
      <c r="A63" s="12" t="s">
        <v>149</v>
      </c>
      <c r="B63" s="12">
        <v>0.18</v>
      </c>
      <c r="C63" s="12"/>
      <c r="D63" s="13"/>
      <c r="E63" s="12">
        <v>0.146</v>
      </c>
      <c r="F63" s="12">
        <v>0.151</v>
      </c>
      <c r="G63" s="12">
        <v>0.144</v>
      </c>
      <c r="H63" s="12">
        <v>0.139</v>
      </c>
      <c r="I63" s="13">
        <v>0.112</v>
      </c>
      <c r="J63" s="14">
        <v>0.151</v>
      </c>
      <c r="K63" s="14">
        <v>0.155</v>
      </c>
      <c r="L63" s="14">
        <v>0.158</v>
      </c>
      <c r="M63" s="14">
        <v>0.195</v>
      </c>
      <c r="N63" s="14">
        <v>0.143</v>
      </c>
      <c r="O63" s="14">
        <v>0.149</v>
      </c>
    </row>
    <row r="64" spans="1:15" ht="12.75">
      <c r="A64" s="12" t="s">
        <v>150</v>
      </c>
      <c r="B64" s="12">
        <v>150</v>
      </c>
      <c r="C64" s="12"/>
      <c r="D64" s="13"/>
      <c r="E64" s="12"/>
      <c r="F64" s="12"/>
      <c r="G64" s="12"/>
      <c r="H64" s="12"/>
      <c r="I64" s="13"/>
      <c r="J64" s="14"/>
      <c r="K64" s="14"/>
      <c r="L64" s="14"/>
      <c r="M64" s="14"/>
      <c r="N64" s="14"/>
      <c r="O64" s="14"/>
    </row>
    <row r="65" spans="1:15" ht="12.75">
      <c r="A65" s="12" t="s">
        <v>151</v>
      </c>
      <c r="B65" s="12"/>
      <c r="C65" s="12"/>
      <c r="D65" s="13"/>
      <c r="E65" s="12"/>
      <c r="F65" s="12"/>
      <c r="G65" s="12"/>
      <c r="H65" s="12"/>
      <c r="I65" s="13"/>
      <c r="J65" s="14"/>
      <c r="K65" s="14"/>
      <c r="L65" s="14"/>
      <c r="M65" s="14"/>
      <c r="N65" s="14"/>
      <c r="O65" s="14"/>
    </row>
    <row r="66" spans="1:15" ht="12.75">
      <c r="A66" s="12" t="s">
        <v>152</v>
      </c>
      <c r="B66" s="12"/>
      <c r="C66" s="12"/>
      <c r="D66" s="13"/>
      <c r="E66" s="12"/>
      <c r="F66" s="12"/>
      <c r="G66" s="12"/>
      <c r="H66" s="12"/>
      <c r="I66" s="13"/>
      <c r="J66" s="14"/>
      <c r="K66" s="14"/>
      <c r="L66" s="14"/>
      <c r="M66" s="14"/>
      <c r="N66" s="14"/>
      <c r="O66" s="14"/>
    </row>
    <row r="67" spans="1:15" ht="12.75">
      <c r="A67" s="12" t="s">
        <v>153</v>
      </c>
      <c r="B67" s="12">
        <v>19.6</v>
      </c>
      <c r="C67" s="12">
        <v>14.9</v>
      </c>
      <c r="D67" s="13">
        <v>13</v>
      </c>
      <c r="E67" s="12">
        <v>11.6</v>
      </c>
      <c r="F67" s="12">
        <v>13</v>
      </c>
      <c r="G67" s="12">
        <v>57.1</v>
      </c>
      <c r="H67" s="12">
        <v>11.3</v>
      </c>
      <c r="I67" s="13">
        <v>9.4</v>
      </c>
      <c r="J67" s="14">
        <v>13.9</v>
      </c>
      <c r="K67" s="14">
        <v>14</v>
      </c>
      <c r="L67" s="14">
        <v>12.1</v>
      </c>
      <c r="M67" s="14">
        <v>11.2</v>
      </c>
      <c r="N67" s="14">
        <v>12.4</v>
      </c>
      <c r="O67" s="14">
        <v>13.3</v>
      </c>
    </row>
    <row r="68" spans="1:15" ht="12.75">
      <c r="A68" s="12" t="s">
        <v>166</v>
      </c>
      <c r="B68" s="12"/>
      <c r="C68" s="12"/>
      <c r="D68" s="13"/>
      <c r="E68" s="12"/>
      <c r="F68" s="12"/>
      <c r="G68" s="12"/>
      <c r="H68" s="12"/>
      <c r="I68" s="13"/>
      <c r="J68" s="14"/>
      <c r="K68" s="14"/>
      <c r="L68" s="14"/>
      <c r="M68" s="14"/>
      <c r="N68" s="14"/>
      <c r="O68" s="14"/>
    </row>
    <row r="69" spans="1:15" ht="12.75">
      <c r="A69" s="12" t="s">
        <v>154</v>
      </c>
      <c r="B69" s="12">
        <v>4.5</v>
      </c>
      <c r="C69" s="12">
        <v>5.2</v>
      </c>
      <c r="D69" s="13">
        <v>5.5</v>
      </c>
      <c r="E69" s="12">
        <v>4.5</v>
      </c>
      <c r="F69" s="12">
        <v>4.5</v>
      </c>
      <c r="G69" s="12">
        <v>3.7</v>
      </c>
      <c r="H69" s="12">
        <v>3.4</v>
      </c>
      <c r="I69" s="13">
        <v>2.1</v>
      </c>
      <c r="J69" s="14">
        <v>4.2</v>
      </c>
      <c r="K69" s="14">
        <v>4.5</v>
      </c>
      <c r="L69" s="14">
        <v>4.2</v>
      </c>
      <c r="M69" s="14">
        <v>4.1</v>
      </c>
      <c r="N69" s="14">
        <v>4.2</v>
      </c>
      <c r="O69" s="14">
        <v>4.2</v>
      </c>
    </row>
    <row r="70" spans="1:15" ht="12.75">
      <c r="A70" s="12" t="s">
        <v>155</v>
      </c>
      <c r="B70" s="12">
        <v>0.81</v>
      </c>
      <c r="C70" s="12"/>
      <c r="D70" s="13"/>
      <c r="E70" s="12">
        <v>0.52</v>
      </c>
      <c r="F70" s="12">
        <v>0.58</v>
      </c>
      <c r="G70" s="12">
        <v>0.5</v>
      </c>
      <c r="H70" s="12">
        <v>0.51</v>
      </c>
      <c r="I70" s="13">
        <v>0.4</v>
      </c>
      <c r="J70" s="14">
        <v>0.5</v>
      </c>
      <c r="K70" s="14">
        <v>0.53</v>
      </c>
      <c r="L70" s="14">
        <v>0.59</v>
      </c>
      <c r="M70" s="14">
        <v>0.55</v>
      </c>
      <c r="N70" s="14">
        <v>0.52</v>
      </c>
      <c r="O70" s="14">
        <v>0.51</v>
      </c>
    </row>
    <row r="71" spans="1:15" ht="12.75">
      <c r="A71" s="12" t="s">
        <v>156</v>
      </c>
      <c r="B71" s="12">
        <v>0.19</v>
      </c>
      <c r="C71" s="12"/>
      <c r="D71" s="13"/>
      <c r="E71" s="12">
        <v>0.15</v>
      </c>
      <c r="F71" s="12">
        <v>0.13</v>
      </c>
      <c r="G71" s="12">
        <v>0.14</v>
      </c>
      <c r="H71" s="12">
        <v>0.16</v>
      </c>
      <c r="I71" s="13">
        <v>0.11</v>
      </c>
      <c r="J71" s="14">
        <v>0.13</v>
      </c>
      <c r="K71" s="14">
        <v>0.16</v>
      </c>
      <c r="L71" s="14">
        <v>0.12</v>
      </c>
      <c r="M71" s="14">
        <v>0.15</v>
      </c>
      <c r="N71" s="14">
        <v>0.11</v>
      </c>
      <c r="O71" s="14">
        <v>0.16</v>
      </c>
    </row>
    <row r="73" ht="12.75">
      <c r="A73" s="15" t="s">
        <v>207</v>
      </c>
    </row>
    <row r="74" ht="12.75">
      <c r="A74" s="15" t="s">
        <v>62</v>
      </c>
    </row>
    <row r="75" ht="12.75">
      <c r="A75" s="15"/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I19" sqref="I19"/>
    </sheetView>
  </sheetViews>
  <sheetFormatPr defaultColWidth="9.140625" defaultRowHeight="12.75"/>
  <sheetData>
    <row r="1" ht="15">
      <c r="A1" s="16" t="s">
        <v>73</v>
      </c>
    </row>
    <row r="2" ht="12.75">
      <c r="A2" s="12"/>
    </row>
    <row r="3" spans="1:8" s="6" customFormat="1" ht="12.75">
      <c r="A3" s="30" t="s">
        <v>103</v>
      </c>
      <c r="B3" s="6">
        <v>1</v>
      </c>
      <c r="C3" s="6">
        <v>1</v>
      </c>
      <c r="D3" s="6">
        <v>2</v>
      </c>
      <c r="E3" s="6">
        <v>2</v>
      </c>
      <c r="F3" s="6">
        <v>2</v>
      </c>
      <c r="G3" s="6">
        <v>3</v>
      </c>
      <c r="H3" s="6">
        <v>3</v>
      </c>
    </row>
    <row r="4" spans="1:8" s="6" customFormat="1" ht="12.75">
      <c r="A4" s="30" t="s">
        <v>104</v>
      </c>
      <c r="B4" s="6">
        <v>126</v>
      </c>
      <c r="C4" s="6">
        <v>231</v>
      </c>
      <c r="D4" s="6">
        <v>120</v>
      </c>
      <c r="E4" s="6">
        <v>105.6</v>
      </c>
      <c r="F4" s="6">
        <v>123.07</v>
      </c>
      <c r="G4" s="6">
        <v>46.9</v>
      </c>
      <c r="H4" s="6">
        <v>12.9</v>
      </c>
    </row>
    <row r="5" spans="1:8" s="6" customFormat="1" ht="12.75">
      <c r="A5" s="30" t="s">
        <v>243</v>
      </c>
      <c r="B5" s="6" t="s">
        <v>215</v>
      </c>
      <c r="C5" s="6" t="s">
        <v>215</v>
      </c>
      <c r="D5" s="6" t="s">
        <v>78</v>
      </c>
      <c r="E5" s="6" t="s">
        <v>215</v>
      </c>
      <c r="F5" s="6" t="s">
        <v>215</v>
      </c>
      <c r="G5" s="6" t="s">
        <v>215</v>
      </c>
      <c r="H5" s="6" t="s">
        <v>82</v>
      </c>
    </row>
    <row r="6" spans="1:8" ht="12.75">
      <c r="A6" s="12"/>
      <c r="B6" s="6"/>
      <c r="C6" s="6"/>
      <c r="D6" s="6"/>
      <c r="E6" s="6"/>
      <c r="F6" s="6"/>
      <c r="G6" s="6"/>
      <c r="H6" s="6"/>
    </row>
    <row r="7" spans="1:8" ht="15">
      <c r="A7" s="12" t="s">
        <v>244</v>
      </c>
      <c r="B7" s="19">
        <f>20.7*60.09/28.09</f>
        <v>44.281345674617306</v>
      </c>
      <c r="C7" s="19">
        <f>20.7*60.09/28.09</f>
        <v>44.281345674617306</v>
      </c>
      <c r="D7" s="19">
        <f>20.68*60.09/28.09</f>
        <v>44.23856176575294</v>
      </c>
      <c r="E7" s="19"/>
      <c r="F7" s="19"/>
      <c r="G7" s="19"/>
      <c r="H7" s="6">
        <v>43.8</v>
      </c>
    </row>
    <row r="8" spans="1:8" ht="15">
      <c r="A8" s="12" t="s">
        <v>245</v>
      </c>
      <c r="B8" s="19">
        <f>0.15*79.9/47.9</f>
        <v>0.25020876826722344</v>
      </c>
      <c r="C8" s="19">
        <f>0.11*79.9/47.9</f>
        <v>0.18348643006263052</v>
      </c>
      <c r="D8" s="19">
        <f>0.13*79.9/47.9</f>
        <v>0.21684759916492694</v>
      </c>
      <c r="E8" s="19"/>
      <c r="F8" s="19"/>
      <c r="G8" s="19"/>
      <c r="H8" s="6">
        <v>0.2</v>
      </c>
    </row>
    <row r="9" spans="1:8" ht="15">
      <c r="A9" s="12" t="s">
        <v>56</v>
      </c>
      <c r="B9" s="19">
        <f>14.8*102/2/27</f>
        <v>27.95555555555556</v>
      </c>
      <c r="C9" s="19">
        <f>14.5*102/2/27</f>
        <v>27.38888888888889</v>
      </c>
      <c r="D9" s="19">
        <f>14.42*102/2/27</f>
        <v>27.237777777777776</v>
      </c>
      <c r="E9" s="19"/>
      <c r="F9" s="19"/>
      <c r="G9" s="19"/>
      <c r="H9" s="6">
        <v>28.4</v>
      </c>
    </row>
    <row r="10" spans="1:8" ht="12.75">
      <c r="A10" s="12" t="s">
        <v>105</v>
      </c>
      <c r="B10" s="19">
        <f>3.51*71.85/55.85</f>
        <v>4.5155505819158455</v>
      </c>
      <c r="C10" s="19">
        <f>3.36*71.85/55.85</f>
        <v>4.322578334825424</v>
      </c>
      <c r="D10" s="19">
        <f>3.56*71.85/55.85</f>
        <v>4.579874664279319</v>
      </c>
      <c r="E10" s="19">
        <f>3.34*71.85/55.85</f>
        <v>4.296848701880036</v>
      </c>
      <c r="F10" s="19">
        <f>3.49*71.85/55.85</f>
        <v>4.489820948970456</v>
      </c>
      <c r="G10" s="19">
        <v>4.38</v>
      </c>
      <c r="H10" s="6">
        <v>4.47</v>
      </c>
    </row>
    <row r="11" spans="1:8" ht="12.75">
      <c r="A11" s="12" t="s">
        <v>106</v>
      </c>
      <c r="B11" s="19">
        <f>0.05*74.7/58.7</f>
        <v>0.06362862010221465</v>
      </c>
      <c r="C11" s="19">
        <f>0.048*74.7/58.7</f>
        <v>0.06108347529812607</v>
      </c>
      <c r="D11" s="19">
        <f>0.051*74.7/58.7</f>
        <v>0.06490119250425894</v>
      </c>
      <c r="E11" s="19">
        <f>0.051*74.7/58.7</f>
        <v>0.06490119250425894</v>
      </c>
      <c r="F11" s="19">
        <f>0.0536*74.7/58.7</f>
        <v>0.0682098807495741</v>
      </c>
      <c r="G11" s="19"/>
      <c r="H11" s="6">
        <v>0.06</v>
      </c>
    </row>
    <row r="12" spans="1:8" ht="12.75">
      <c r="A12" s="12" t="s">
        <v>108</v>
      </c>
      <c r="B12" s="19">
        <f>3.24*40.3/24.3</f>
        <v>5.373333333333333</v>
      </c>
      <c r="C12" s="19">
        <f>3.21*40.3/24.3</f>
        <v>5.32358024691358</v>
      </c>
      <c r="D12" s="19">
        <f>3.14*40.3/24.3</f>
        <v>5.207489711934156</v>
      </c>
      <c r="E12" s="19"/>
      <c r="F12" s="19"/>
      <c r="G12" s="19"/>
      <c r="H12" s="6">
        <v>5.5</v>
      </c>
    </row>
    <row r="13" spans="1:8" ht="12.75">
      <c r="A13" s="12" t="s">
        <v>107</v>
      </c>
      <c r="B13" s="19">
        <f>11.7*56.08/40.08</f>
        <v>16.37065868263473</v>
      </c>
      <c r="C13" s="19">
        <f>12.4*56.08/40.08</f>
        <v>17.350099800399203</v>
      </c>
      <c r="D13" s="19">
        <f>12.08*56.08/40.08</f>
        <v>16.90235528942116</v>
      </c>
      <c r="E13" s="19">
        <f>11*56.08/40.08</f>
        <v>15.39121756487026</v>
      </c>
      <c r="F13" s="19">
        <f>12.2*56.08/40.08</f>
        <v>17.070259481037922</v>
      </c>
      <c r="G13" s="19">
        <v>16.7</v>
      </c>
      <c r="H13" s="6">
        <v>17.1</v>
      </c>
    </row>
    <row r="14" spans="1:8" ht="15">
      <c r="A14" s="12" t="s">
        <v>57</v>
      </c>
      <c r="B14" s="19">
        <f>0.259*61.98/2/23</f>
        <v>0.348974347826087</v>
      </c>
      <c r="C14" s="19">
        <f>0.245*61.98/2/23</f>
        <v>0.33011086956521735</v>
      </c>
      <c r="D14" s="19">
        <f>0.245*61.98/2/23</f>
        <v>0.33011086956521735</v>
      </c>
      <c r="E14" s="19">
        <f>0.245*61.98/2/23</f>
        <v>0.33011086956521735</v>
      </c>
      <c r="F14" s="19">
        <f>0.245*61.98/2/23</f>
        <v>0.33011086956521735</v>
      </c>
      <c r="G14" s="19">
        <v>0.349</v>
      </c>
      <c r="H14" s="6">
        <v>0.35</v>
      </c>
    </row>
    <row r="15" spans="1:8" ht="15">
      <c r="A15" s="12" t="s">
        <v>58</v>
      </c>
      <c r="B15" s="19">
        <f>0.056*94.2/2/39.1</f>
        <v>0.06745780051150894</v>
      </c>
      <c r="C15" s="19">
        <f>0.085*94.2/2/39.1</f>
        <v>0.1023913043478261</v>
      </c>
      <c r="D15" s="19">
        <f>0.085*94.2/2/39.1</f>
        <v>0.1023913043478261</v>
      </c>
      <c r="E15" s="19">
        <f>0.04*94.2/2/39.1</f>
        <v>0.048184143222506394</v>
      </c>
      <c r="F15" s="19">
        <f>0.049*94.2/2/39.1</f>
        <v>0.05902557544757033</v>
      </c>
      <c r="G15" s="19">
        <v>0.05</v>
      </c>
      <c r="H15" s="6">
        <v>0.052</v>
      </c>
    </row>
    <row r="16" spans="1:8" ht="15">
      <c r="A16" s="12" t="s">
        <v>59</v>
      </c>
      <c r="B16" s="6"/>
      <c r="C16" s="6"/>
      <c r="D16" s="20">
        <f>0.025*142/2/31</f>
        <v>0.05725806451612904</v>
      </c>
      <c r="E16" s="6"/>
      <c r="F16" s="6"/>
      <c r="G16" s="6"/>
      <c r="H16" s="6">
        <v>0.06</v>
      </c>
    </row>
    <row r="17" spans="1:8" ht="12.75">
      <c r="A17" s="12" t="s">
        <v>181</v>
      </c>
      <c r="B17" s="6"/>
      <c r="C17" s="6"/>
      <c r="D17" s="6"/>
      <c r="E17" s="6"/>
      <c r="F17" s="6"/>
      <c r="G17" s="6"/>
      <c r="H17" s="6"/>
    </row>
    <row r="18" spans="1:8" ht="12.75">
      <c r="A18" s="12" t="s">
        <v>109</v>
      </c>
      <c r="B18" s="6"/>
      <c r="C18" s="6"/>
      <c r="D18" s="6"/>
      <c r="E18" s="6"/>
      <c r="F18" s="6"/>
      <c r="G18" s="6"/>
      <c r="H18" s="6"/>
    </row>
    <row r="19" spans="1:8" ht="12.75">
      <c r="A19" s="12"/>
      <c r="B19" s="6"/>
      <c r="C19" s="6"/>
      <c r="D19" s="6"/>
      <c r="E19" s="6"/>
      <c r="F19" s="6"/>
      <c r="G19" s="6"/>
      <c r="H19" s="6"/>
    </row>
    <row r="20" spans="1:8" ht="12.75">
      <c r="A20" s="12" t="s">
        <v>163</v>
      </c>
      <c r="B20" s="6">
        <v>8.4</v>
      </c>
      <c r="C20" s="6">
        <v>8</v>
      </c>
      <c r="D20" s="6"/>
      <c r="E20" s="6">
        <v>7.7</v>
      </c>
      <c r="F20" s="6">
        <v>7.99</v>
      </c>
      <c r="G20" s="6">
        <v>7.67</v>
      </c>
      <c r="H20" s="6"/>
    </row>
    <row r="21" spans="1:8" ht="12.75">
      <c r="A21" s="12" t="s">
        <v>110</v>
      </c>
      <c r="B21" s="6">
        <v>10</v>
      </c>
      <c r="C21" s="6">
        <v>26</v>
      </c>
      <c r="D21" s="6">
        <v>26</v>
      </c>
      <c r="E21" s="6"/>
      <c r="F21" s="6"/>
      <c r="G21" s="6"/>
      <c r="H21" s="6"/>
    </row>
    <row r="22" spans="1:8" ht="12.75">
      <c r="A22" s="12" t="s">
        <v>111</v>
      </c>
      <c r="B22" s="6">
        <v>660</v>
      </c>
      <c r="C22" s="6">
        <v>620</v>
      </c>
      <c r="D22" s="6">
        <v>648</v>
      </c>
      <c r="E22" s="6">
        <v>630</v>
      </c>
      <c r="F22" s="6">
        <v>639</v>
      </c>
      <c r="G22" s="6">
        <v>640</v>
      </c>
      <c r="H22" s="21">
        <f>800/152*2*52</f>
        <v>547.3684210526317</v>
      </c>
    </row>
    <row r="23" spans="1:8" ht="12.75">
      <c r="A23" s="12" t="s">
        <v>112</v>
      </c>
      <c r="B23" s="6">
        <v>22.2</v>
      </c>
      <c r="C23" s="6">
        <v>17.9</v>
      </c>
      <c r="D23" s="6"/>
      <c r="E23" s="6"/>
      <c r="F23" s="6">
        <v>22</v>
      </c>
      <c r="G23" s="6">
        <v>20.1</v>
      </c>
      <c r="H23" s="6"/>
    </row>
    <row r="24" spans="1:8" ht="12.75">
      <c r="A24" s="12" t="s">
        <v>113</v>
      </c>
      <c r="B24" s="6">
        <v>230</v>
      </c>
      <c r="C24" s="6">
        <v>186</v>
      </c>
      <c r="D24" s="6"/>
      <c r="E24" s="6">
        <v>230</v>
      </c>
      <c r="F24" s="6">
        <v>310</v>
      </c>
      <c r="G24" s="6">
        <v>242</v>
      </c>
      <c r="H24" s="6"/>
    </row>
    <row r="25" spans="1:8" ht="12.75">
      <c r="A25" s="12" t="s">
        <v>114</v>
      </c>
      <c r="B25" s="6"/>
      <c r="C25" s="6"/>
      <c r="D25" s="6"/>
      <c r="E25" s="6"/>
      <c r="F25" s="6"/>
      <c r="G25" s="6"/>
      <c r="H25" s="6"/>
    </row>
    <row r="26" spans="1:8" ht="12.75">
      <c r="A26" s="12" t="s">
        <v>115</v>
      </c>
      <c r="B26" s="6"/>
      <c r="C26" s="6"/>
      <c r="D26" s="6"/>
      <c r="E26" s="6">
        <v>40</v>
      </c>
      <c r="F26" s="6">
        <v>33</v>
      </c>
      <c r="G26" s="6"/>
      <c r="H26" s="6"/>
    </row>
    <row r="27" spans="1:8" ht="12.75">
      <c r="A27" s="12" t="s">
        <v>116</v>
      </c>
      <c r="B27" s="6">
        <v>4.4</v>
      </c>
      <c r="C27" s="6">
        <v>4.3</v>
      </c>
      <c r="D27" s="6"/>
      <c r="E27" s="6">
        <v>3.8</v>
      </c>
      <c r="F27" s="6">
        <v>4.7</v>
      </c>
      <c r="G27" s="6"/>
      <c r="H27" s="6"/>
    </row>
    <row r="28" spans="1:8" ht="12.75">
      <c r="A28" s="12" t="s">
        <v>117</v>
      </c>
      <c r="B28" s="6"/>
      <c r="C28" s="6"/>
      <c r="D28" s="6"/>
      <c r="E28" s="6"/>
      <c r="F28" s="6"/>
      <c r="G28" s="6"/>
      <c r="H28" s="6"/>
    </row>
    <row r="29" spans="1:8" ht="12.75">
      <c r="A29" s="12" t="s">
        <v>118</v>
      </c>
      <c r="B29" s="6" t="s">
        <v>201</v>
      </c>
      <c r="C29" s="6">
        <v>0.21</v>
      </c>
      <c r="D29" s="6"/>
      <c r="E29" s="6">
        <v>0.3</v>
      </c>
      <c r="F29" s="6">
        <v>0.53</v>
      </c>
      <c r="G29" s="6">
        <v>0.56</v>
      </c>
      <c r="H29" s="6"/>
    </row>
    <row r="30" spans="1:8" ht="12.75">
      <c r="A30" s="12" t="s">
        <v>119</v>
      </c>
      <c r="B30" s="6"/>
      <c r="C30" s="6"/>
      <c r="D30" s="6"/>
      <c r="E30" s="6" t="s">
        <v>189</v>
      </c>
      <c r="F30" s="6" t="s">
        <v>79</v>
      </c>
      <c r="G30" s="6"/>
      <c r="H30" s="6"/>
    </row>
    <row r="31" spans="1:8" ht="12.75">
      <c r="A31" s="12" t="s">
        <v>120</v>
      </c>
      <c r="B31" s="6"/>
      <c r="C31" s="6"/>
      <c r="D31" s="6"/>
      <c r="E31" s="6" t="s">
        <v>182</v>
      </c>
      <c r="F31" s="6" t="s">
        <v>80</v>
      </c>
      <c r="G31" s="6" t="s">
        <v>80</v>
      </c>
      <c r="H31" s="6"/>
    </row>
    <row r="32" spans="1:8" ht="12.75">
      <c r="A32" s="12" t="s">
        <v>121</v>
      </c>
      <c r="B32" s="6">
        <v>176</v>
      </c>
      <c r="C32" s="6">
        <v>209</v>
      </c>
      <c r="D32" s="6"/>
      <c r="E32" s="6">
        <v>220</v>
      </c>
      <c r="F32" s="6">
        <v>270</v>
      </c>
      <c r="G32" s="6">
        <v>202</v>
      </c>
      <c r="H32" s="6"/>
    </row>
    <row r="33" spans="1:8" ht="12.75">
      <c r="A33" s="12" t="s">
        <v>122</v>
      </c>
      <c r="B33" s="6"/>
      <c r="C33" s="6"/>
      <c r="D33" s="6"/>
      <c r="E33" s="6"/>
      <c r="F33" s="6"/>
      <c r="G33" s="6"/>
      <c r="H33" s="6"/>
    </row>
    <row r="34" spans="1:8" ht="12.75">
      <c r="A34" s="12" t="s">
        <v>123</v>
      </c>
      <c r="B34" s="6">
        <v>37</v>
      </c>
      <c r="C34" s="6" t="s">
        <v>208</v>
      </c>
      <c r="D34" s="6"/>
      <c r="E34" s="6">
        <v>38</v>
      </c>
      <c r="F34" s="6">
        <v>30</v>
      </c>
      <c r="G34" s="6">
        <v>27</v>
      </c>
      <c r="H34" s="6"/>
    </row>
    <row r="35" spans="1:8" ht="12.75">
      <c r="A35" s="12" t="s">
        <v>124</v>
      </c>
      <c r="B35" s="6"/>
      <c r="C35" s="6"/>
      <c r="D35" s="6"/>
      <c r="E35" s="6"/>
      <c r="F35" s="6"/>
      <c r="G35" s="6"/>
      <c r="H35" s="6"/>
    </row>
    <row r="36" spans="1:8" ht="12.75">
      <c r="A36" s="12" t="s">
        <v>125</v>
      </c>
      <c r="B36" s="6"/>
      <c r="C36" s="6"/>
      <c r="D36" s="6"/>
      <c r="E36" s="6">
        <v>0.9</v>
      </c>
      <c r="F36" s="6">
        <v>0.87</v>
      </c>
      <c r="G36" s="6"/>
      <c r="H36" s="6"/>
    </row>
    <row r="37" spans="1:8" ht="12.75">
      <c r="A37" s="12" t="s">
        <v>167</v>
      </c>
      <c r="B37" s="6"/>
      <c r="C37" s="6"/>
      <c r="D37" s="6"/>
      <c r="E37" s="6"/>
      <c r="F37" s="6"/>
      <c r="G37" s="6"/>
      <c r="H37" s="6"/>
    </row>
    <row r="38" spans="1:8" ht="12.75">
      <c r="A38" s="12" t="s">
        <v>168</v>
      </c>
      <c r="B38" s="6"/>
      <c r="C38" s="6"/>
      <c r="D38" s="6"/>
      <c r="E38" s="6"/>
      <c r="F38" s="6"/>
      <c r="G38" s="6"/>
      <c r="H38" s="6"/>
    </row>
    <row r="39" spans="1:8" ht="12.75">
      <c r="A39" s="12" t="s">
        <v>126</v>
      </c>
      <c r="B39" s="6"/>
      <c r="C39" s="6"/>
      <c r="D39" s="6"/>
      <c r="E39" s="6"/>
      <c r="F39" s="6"/>
      <c r="G39" s="6"/>
      <c r="H39" s="6"/>
    </row>
    <row r="40" spans="1:8" ht="12.75">
      <c r="A40" s="12" t="s">
        <v>127</v>
      </c>
      <c r="B40" s="6"/>
      <c r="C40" s="6"/>
      <c r="D40" s="6"/>
      <c r="E40" s="6"/>
      <c r="F40" s="6"/>
      <c r="G40" s="6"/>
      <c r="H40" s="6"/>
    </row>
    <row r="41" spans="1:8" ht="12.75">
      <c r="A41" s="12" t="s">
        <v>128</v>
      </c>
      <c r="B41" s="6"/>
      <c r="C41" s="6"/>
      <c r="D41" s="6"/>
      <c r="E41" s="6"/>
      <c r="F41" s="6"/>
      <c r="G41" s="6"/>
      <c r="H41" s="6"/>
    </row>
    <row r="42" spans="1:8" ht="12.75">
      <c r="A42" s="12" t="s">
        <v>129</v>
      </c>
      <c r="B42" s="6"/>
      <c r="C42" s="6"/>
      <c r="D42" s="6"/>
      <c r="E42" s="6"/>
      <c r="F42" s="6"/>
      <c r="G42" s="6"/>
      <c r="H42" s="6"/>
    </row>
    <row r="43" spans="1:8" ht="12.75">
      <c r="A43" s="12" t="s">
        <v>164</v>
      </c>
      <c r="B43" s="6"/>
      <c r="C43" s="6"/>
      <c r="D43" s="6"/>
      <c r="E43" s="6"/>
      <c r="F43" s="6"/>
      <c r="G43" s="6"/>
      <c r="H43" s="6"/>
    </row>
    <row r="44" spans="1:8" ht="12.75">
      <c r="A44" s="12" t="s">
        <v>130</v>
      </c>
      <c r="B44" s="6" t="s">
        <v>75</v>
      </c>
      <c r="C44" s="6">
        <v>41</v>
      </c>
      <c r="D44" s="6"/>
      <c r="E44" s="6"/>
      <c r="F44" s="6"/>
      <c r="G44" s="6">
        <v>20</v>
      </c>
      <c r="H44" s="6"/>
    </row>
    <row r="45" spans="1:8" ht="12.75">
      <c r="A45" s="12" t="s">
        <v>131</v>
      </c>
      <c r="B45" s="6"/>
      <c r="C45" s="6"/>
      <c r="D45" s="6"/>
      <c r="E45" s="6"/>
      <c r="F45" s="6"/>
      <c r="G45" s="6"/>
      <c r="H45" s="6"/>
    </row>
    <row r="46" spans="1:8" ht="12.75">
      <c r="A46" s="12" t="s">
        <v>132</v>
      </c>
      <c r="B46" s="6" t="s">
        <v>76</v>
      </c>
      <c r="C46" s="6" t="s">
        <v>76</v>
      </c>
      <c r="D46" s="6"/>
      <c r="E46" s="6">
        <v>0.08</v>
      </c>
      <c r="F46" s="6">
        <v>0.15</v>
      </c>
      <c r="G46" s="6">
        <v>0.049</v>
      </c>
      <c r="H46" s="6"/>
    </row>
    <row r="47" spans="1:8" ht="12.75">
      <c r="A47" s="12" t="s">
        <v>133</v>
      </c>
      <c r="B47" s="6">
        <v>240</v>
      </c>
      <c r="C47" s="6">
        <v>117</v>
      </c>
      <c r="D47" s="6"/>
      <c r="E47" s="6">
        <v>190</v>
      </c>
      <c r="F47" s="6">
        <v>390</v>
      </c>
      <c r="G47" s="6">
        <v>150</v>
      </c>
      <c r="H47" s="6"/>
    </row>
    <row r="48" spans="1:8" ht="12.75">
      <c r="A48" s="12" t="s">
        <v>134</v>
      </c>
      <c r="B48" s="6">
        <v>2.65</v>
      </c>
      <c r="C48" s="6">
        <v>2.25</v>
      </c>
      <c r="D48" s="6"/>
      <c r="E48" s="6">
        <v>2.3</v>
      </c>
      <c r="F48" s="6">
        <v>2.57</v>
      </c>
      <c r="G48" s="6">
        <v>2.21</v>
      </c>
      <c r="H48" s="6"/>
    </row>
    <row r="49" spans="1:8" ht="12.75">
      <c r="A49" s="12" t="s">
        <v>135</v>
      </c>
      <c r="B49" s="6">
        <v>6.6</v>
      </c>
      <c r="C49" s="6">
        <v>5.3</v>
      </c>
      <c r="D49" s="6"/>
      <c r="E49" s="6">
        <v>7.7</v>
      </c>
      <c r="F49" s="6">
        <v>6.8</v>
      </c>
      <c r="G49" s="6">
        <v>5.83</v>
      </c>
      <c r="H49" s="6"/>
    </row>
    <row r="50" spans="1:8" ht="12.75">
      <c r="A50" s="12" t="s">
        <v>136</v>
      </c>
      <c r="B50" s="6"/>
      <c r="C50" s="6"/>
      <c r="D50" s="6"/>
      <c r="E50" s="6"/>
      <c r="F50" s="6"/>
      <c r="G50" s="6"/>
      <c r="H50" s="6"/>
    </row>
    <row r="51" spans="1:8" ht="12.75">
      <c r="A51" s="12" t="s">
        <v>137</v>
      </c>
      <c r="B51" s="6">
        <v>4.2</v>
      </c>
      <c r="C51" s="6">
        <v>3.3</v>
      </c>
      <c r="D51" s="6"/>
      <c r="E51" s="6">
        <v>4.5</v>
      </c>
      <c r="F51" s="6">
        <v>3.2</v>
      </c>
      <c r="G51" s="6">
        <v>3.2</v>
      </c>
      <c r="H51" s="6"/>
    </row>
    <row r="52" spans="1:8" ht="12.75">
      <c r="A52" s="12" t="s">
        <v>138</v>
      </c>
      <c r="B52" s="6">
        <v>1.22</v>
      </c>
      <c r="C52" s="6">
        <v>1.01</v>
      </c>
      <c r="D52" s="6"/>
      <c r="E52" s="6">
        <v>1.2</v>
      </c>
      <c r="F52" s="6">
        <v>1.09</v>
      </c>
      <c r="G52" s="6">
        <v>1.015</v>
      </c>
      <c r="H52" s="6"/>
    </row>
    <row r="53" spans="1:8" ht="12.75">
      <c r="A53" s="12" t="s">
        <v>139</v>
      </c>
      <c r="B53" s="6">
        <v>0.86</v>
      </c>
      <c r="C53" s="6">
        <v>0.74</v>
      </c>
      <c r="D53" s="6"/>
      <c r="E53" s="6">
        <v>0.74</v>
      </c>
      <c r="F53" s="6">
        <v>0.725</v>
      </c>
      <c r="G53" s="6">
        <v>0.749</v>
      </c>
      <c r="H53" s="6"/>
    </row>
    <row r="54" spans="1:8" ht="12.75">
      <c r="A54" s="12" t="s">
        <v>140</v>
      </c>
      <c r="B54" s="6"/>
      <c r="C54" s="6"/>
      <c r="D54" s="6"/>
      <c r="E54" s="6">
        <v>1.2</v>
      </c>
      <c r="F54" s="6"/>
      <c r="G54" s="6"/>
      <c r="H54" s="6"/>
    </row>
    <row r="55" spans="1:8" ht="12.75">
      <c r="A55" s="12" t="s">
        <v>141</v>
      </c>
      <c r="B55" s="6">
        <v>0.25</v>
      </c>
      <c r="C55" s="6">
        <v>0.21</v>
      </c>
      <c r="D55" s="6"/>
      <c r="E55" s="6">
        <v>0.23</v>
      </c>
      <c r="F55" s="6">
        <v>0.24</v>
      </c>
      <c r="G55" s="6">
        <v>0.206</v>
      </c>
      <c r="H55" s="6"/>
    </row>
    <row r="56" spans="1:8" ht="12.75">
      <c r="A56" s="12" t="s">
        <v>142</v>
      </c>
      <c r="B56" s="6">
        <v>1.81</v>
      </c>
      <c r="C56" s="6">
        <v>1.5</v>
      </c>
      <c r="D56" s="6"/>
      <c r="E56" s="6">
        <v>2</v>
      </c>
      <c r="F56" s="6">
        <v>1.5</v>
      </c>
      <c r="G56" s="6"/>
      <c r="H56" s="6"/>
    </row>
    <row r="57" spans="1:8" ht="12.75">
      <c r="A57" s="12" t="s">
        <v>143</v>
      </c>
      <c r="B57" s="6">
        <v>0.37</v>
      </c>
      <c r="C57" s="6">
        <v>0.26</v>
      </c>
      <c r="D57" s="6"/>
      <c r="E57" s="6">
        <v>0.3</v>
      </c>
      <c r="F57" s="6">
        <v>0.3</v>
      </c>
      <c r="G57" s="6"/>
      <c r="H57" s="6"/>
    </row>
    <row r="58" spans="1:8" ht="12.75">
      <c r="A58" s="12" t="s">
        <v>144</v>
      </c>
      <c r="B58" s="6"/>
      <c r="C58" s="6"/>
      <c r="D58" s="6"/>
      <c r="E58" s="6"/>
      <c r="F58" s="6"/>
      <c r="G58" s="6"/>
      <c r="H58" s="6"/>
    </row>
    <row r="59" spans="1:8" ht="12.75">
      <c r="A59" s="12" t="s">
        <v>145</v>
      </c>
      <c r="B59" s="6"/>
      <c r="C59" s="6"/>
      <c r="D59" s="6"/>
      <c r="E59" s="6"/>
      <c r="F59" s="6"/>
      <c r="G59" s="6"/>
      <c r="H59" s="6"/>
    </row>
    <row r="60" spans="1:8" ht="12.75">
      <c r="A60" s="12" t="s">
        <v>146</v>
      </c>
      <c r="B60" s="6">
        <v>1</v>
      </c>
      <c r="C60" s="6">
        <v>0.79</v>
      </c>
      <c r="D60" s="6"/>
      <c r="E60" s="6">
        <v>0.9</v>
      </c>
      <c r="F60" s="6">
        <v>0.93</v>
      </c>
      <c r="G60" s="6">
        <v>0.82</v>
      </c>
      <c r="H60" s="6"/>
    </row>
    <row r="61" spans="1:8" ht="12.75">
      <c r="A61" s="12" t="s">
        <v>147</v>
      </c>
      <c r="B61" s="6">
        <v>0.143</v>
      </c>
      <c r="C61" s="6">
        <v>0.11</v>
      </c>
      <c r="D61" s="6"/>
      <c r="E61" s="6">
        <v>0.12</v>
      </c>
      <c r="F61" s="6">
        <v>0.13</v>
      </c>
      <c r="G61" s="6">
        <v>0.1212</v>
      </c>
      <c r="H61" s="6"/>
    </row>
    <row r="62" spans="1:8" ht="12.75">
      <c r="A62" s="12" t="s">
        <v>148</v>
      </c>
      <c r="B62" s="6">
        <v>0.87</v>
      </c>
      <c r="C62" s="6">
        <v>0.78</v>
      </c>
      <c r="D62" s="6"/>
      <c r="E62" s="6">
        <v>0.83</v>
      </c>
      <c r="F62" s="6">
        <v>0.87</v>
      </c>
      <c r="G62" s="6">
        <v>0.738</v>
      </c>
      <c r="H62" s="6"/>
    </row>
    <row r="63" spans="1:8" ht="12.75">
      <c r="A63" s="12" t="s">
        <v>149</v>
      </c>
      <c r="B63" s="6">
        <v>0.13</v>
      </c>
      <c r="C63" s="6">
        <v>0.114</v>
      </c>
      <c r="D63" s="6"/>
      <c r="E63" s="6">
        <v>0.1</v>
      </c>
      <c r="F63" s="6">
        <v>0.11</v>
      </c>
      <c r="G63" s="6">
        <v>0.099</v>
      </c>
      <c r="H63" s="6"/>
    </row>
    <row r="64" spans="1:8" ht="12.75">
      <c r="A64" s="12" t="s">
        <v>150</v>
      </c>
      <c r="B64" s="6"/>
      <c r="C64" s="6"/>
      <c r="D64" s="6"/>
      <c r="E64" s="6"/>
      <c r="F64" s="6"/>
      <c r="G64" s="6" t="s">
        <v>83</v>
      </c>
      <c r="H64" s="6"/>
    </row>
    <row r="65" spans="1:8" ht="12.75">
      <c r="A65" s="12" t="s">
        <v>151</v>
      </c>
      <c r="B65" s="6"/>
      <c r="C65" s="6"/>
      <c r="D65" s="6"/>
      <c r="E65" s="6"/>
      <c r="F65" s="6"/>
      <c r="G65" s="6"/>
      <c r="H65" s="6"/>
    </row>
    <row r="66" spans="1:8" ht="12.75">
      <c r="A66" s="12" t="s">
        <v>152</v>
      </c>
      <c r="B66" s="6"/>
      <c r="C66" s="6"/>
      <c r="D66" s="6"/>
      <c r="E66" s="6"/>
      <c r="F66" s="6"/>
      <c r="G66" s="6"/>
      <c r="H66" s="6"/>
    </row>
    <row r="67" spans="1:8" ht="12.75">
      <c r="A67" s="12" t="s">
        <v>153</v>
      </c>
      <c r="B67" s="6">
        <v>10.4</v>
      </c>
      <c r="C67" s="6">
        <v>9.8</v>
      </c>
      <c r="D67" s="6"/>
      <c r="E67" s="6">
        <v>11</v>
      </c>
      <c r="F67" s="6">
        <v>13</v>
      </c>
      <c r="G67" s="6">
        <v>10.5</v>
      </c>
      <c r="H67" s="6"/>
    </row>
    <row r="68" spans="1:8" ht="12.75">
      <c r="A68" s="12" t="s">
        <v>166</v>
      </c>
      <c r="B68" s="6"/>
      <c r="C68" s="6"/>
      <c r="D68" s="6"/>
      <c r="E68" s="6"/>
      <c r="F68" s="6"/>
      <c r="G68" s="6"/>
      <c r="H68" s="6"/>
    </row>
    <row r="69" spans="1:8" ht="12.75">
      <c r="A69" s="12" t="s">
        <v>154</v>
      </c>
      <c r="B69" s="6">
        <v>7</v>
      </c>
      <c r="C69" s="6">
        <v>4.6</v>
      </c>
      <c r="D69" s="6"/>
      <c r="E69" s="6">
        <v>5</v>
      </c>
      <c r="F69" s="6">
        <v>3.8</v>
      </c>
      <c r="G69" s="6">
        <v>62</v>
      </c>
      <c r="H69" s="6"/>
    </row>
    <row r="70" spans="1:8" ht="12.75">
      <c r="A70" s="12" t="s">
        <v>155</v>
      </c>
      <c r="B70" s="6">
        <v>0.38</v>
      </c>
      <c r="C70" s="6">
        <v>0.38</v>
      </c>
      <c r="D70" s="6"/>
      <c r="E70" s="6">
        <v>0.4</v>
      </c>
      <c r="F70" s="6">
        <v>0.46</v>
      </c>
      <c r="G70" s="6">
        <v>0.364</v>
      </c>
      <c r="H70" s="6"/>
    </row>
    <row r="71" spans="1:8" ht="12.75">
      <c r="A71" s="12" t="s">
        <v>156</v>
      </c>
      <c r="B71" s="6">
        <v>0.069</v>
      </c>
      <c r="C71" s="6">
        <v>0.16</v>
      </c>
      <c r="D71" s="6"/>
      <c r="E71" s="6">
        <v>0.16</v>
      </c>
      <c r="F71" s="6">
        <v>0.26</v>
      </c>
      <c r="G71" s="6">
        <v>0.181</v>
      </c>
      <c r="H71" s="6"/>
    </row>
    <row r="73" s="29" customFormat="1" ht="12.75">
      <c r="A73" s="28" t="s">
        <v>81</v>
      </c>
    </row>
    <row r="75" spans="1:5" ht="13.5">
      <c r="A75" s="18" t="s">
        <v>74</v>
      </c>
      <c r="B75" s="18"/>
      <c r="C75" s="18"/>
      <c r="D75" s="18"/>
      <c r="E75" s="18"/>
    </row>
    <row r="76" spans="1:5" ht="13.5">
      <c r="A76" s="8" t="s">
        <v>174</v>
      </c>
      <c r="B76" s="10"/>
      <c r="C76" s="10"/>
      <c r="D76" s="10"/>
      <c r="E76" s="9"/>
    </row>
    <row r="77" spans="1:5" ht="13.5">
      <c r="A77" s="8" t="s">
        <v>169</v>
      </c>
      <c r="B77" s="10"/>
      <c r="C77" s="10"/>
      <c r="D77" s="10"/>
      <c r="E77" s="9"/>
    </row>
    <row r="78" spans="1:5" ht="13.5">
      <c r="A78" s="8" t="s">
        <v>170</v>
      </c>
      <c r="B78" s="8"/>
      <c r="C78" s="8"/>
      <c r="D78" s="8"/>
      <c r="E78" s="9"/>
    </row>
    <row r="79" spans="1:5" ht="13.5">
      <c r="A79" s="8" t="s">
        <v>171</v>
      </c>
      <c r="B79" s="8"/>
      <c r="C79" s="8"/>
      <c r="D79" s="8"/>
      <c r="E79" s="9"/>
    </row>
    <row r="80" spans="1:5" ht="13.5">
      <c r="A80" s="8"/>
      <c r="B80" s="8"/>
      <c r="C80" s="8"/>
      <c r="D80" s="8"/>
      <c r="E80" s="9"/>
    </row>
    <row r="81" spans="1:5" ht="13.5">
      <c r="A81" s="8" t="s">
        <v>176</v>
      </c>
      <c r="B81" s="8"/>
      <c r="C81" s="8"/>
      <c r="D81" s="8"/>
      <c r="E81" s="9"/>
    </row>
    <row r="82" spans="1:6" ht="13.5">
      <c r="A82" s="8" t="s">
        <v>172</v>
      </c>
      <c r="B82" s="8"/>
      <c r="C82" s="8"/>
      <c r="D82" s="8"/>
      <c r="E82" s="9"/>
      <c r="F82">
        <v>370</v>
      </c>
    </row>
    <row r="83" spans="1:6" ht="13.5">
      <c r="A83" s="8" t="s">
        <v>175</v>
      </c>
      <c r="B83" s="8">
        <v>5.5</v>
      </c>
      <c r="C83" s="8">
        <v>3.4</v>
      </c>
      <c r="D83" s="8"/>
      <c r="E83" s="9">
        <v>0.8</v>
      </c>
      <c r="F83" s="8">
        <v>1.22</v>
      </c>
    </row>
    <row r="84" spans="1:5" ht="13.5">
      <c r="A84" s="8" t="s">
        <v>173</v>
      </c>
      <c r="B84" s="8"/>
      <c r="C84" s="8"/>
      <c r="D84" s="8"/>
      <c r="E84" s="9"/>
    </row>
    <row r="85" spans="1:5" ht="13.5">
      <c r="A85" s="8"/>
      <c r="B85" s="8"/>
      <c r="C85" s="8"/>
      <c r="D85" s="8"/>
      <c r="E85" s="9"/>
    </row>
    <row r="86" spans="1:5" ht="13.5">
      <c r="A86" s="8" t="s">
        <v>179</v>
      </c>
      <c r="B86" s="10"/>
      <c r="C86" s="10"/>
      <c r="D86" s="10"/>
      <c r="E86" s="9"/>
    </row>
    <row r="87" spans="1:5" ht="13.5">
      <c r="A87" s="8" t="s">
        <v>180</v>
      </c>
      <c r="B87" s="8"/>
      <c r="C87" s="8"/>
      <c r="D87" s="8"/>
      <c r="E87" s="9"/>
    </row>
    <row r="88" spans="1:5" ht="13.5">
      <c r="A88" s="8" t="s">
        <v>178</v>
      </c>
      <c r="B88" s="8"/>
      <c r="C88" s="8"/>
      <c r="D88" s="8"/>
      <c r="E88" s="9"/>
    </row>
    <row r="89" spans="1:5" ht="13.5">
      <c r="A89" s="8" t="s">
        <v>177</v>
      </c>
      <c r="B89" s="8"/>
      <c r="C89" s="8"/>
      <c r="D89" s="8"/>
      <c r="E89" s="9"/>
    </row>
    <row r="91" ht="13.5">
      <c r="A91" s="8" t="s">
        <v>77</v>
      </c>
    </row>
    <row r="93" ht="12.75">
      <c r="A93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1632" topLeftCell="BM71" activePane="bottomLeft" state="split"/>
      <selection pane="topLeft" activeCell="B1" sqref="B1"/>
      <selection pane="bottomLeft" activeCell="I82" sqref="I82"/>
    </sheetView>
  </sheetViews>
  <sheetFormatPr defaultColWidth="9.140625" defaultRowHeight="12.75"/>
  <cols>
    <col min="2" max="7" width="8.8515625" style="6" customWidth="1"/>
  </cols>
  <sheetData>
    <row r="1" ht="15">
      <c r="A1" s="16" t="s">
        <v>89</v>
      </c>
    </row>
    <row r="2" ht="12.75">
      <c r="A2" s="12"/>
    </row>
    <row r="3" spans="1:7" s="6" customFormat="1" ht="12.75">
      <c r="A3" s="30" t="s">
        <v>103</v>
      </c>
      <c r="B3" s="6">
        <v>1</v>
      </c>
      <c r="C3" s="6">
        <v>2</v>
      </c>
      <c r="D3" s="6">
        <v>3</v>
      </c>
      <c r="E3" s="6">
        <v>3</v>
      </c>
      <c r="F3" s="6">
        <v>4</v>
      </c>
      <c r="G3" s="6">
        <v>5</v>
      </c>
    </row>
    <row r="4" spans="1:5" s="6" customFormat="1" ht="12.75">
      <c r="A4" s="30" t="s">
        <v>104</v>
      </c>
      <c r="B4" s="6">
        <v>146</v>
      </c>
      <c r="D4" s="6">
        <v>92.7</v>
      </c>
      <c r="E4" s="6">
        <v>20</v>
      </c>
    </row>
    <row r="5" spans="1:7" s="6" customFormat="1" ht="12.75">
      <c r="A5" s="30" t="s">
        <v>243</v>
      </c>
      <c r="B5" s="6" t="s">
        <v>215</v>
      </c>
      <c r="C5" s="6" t="s">
        <v>215</v>
      </c>
      <c r="D5" s="6" t="s">
        <v>215</v>
      </c>
      <c r="E5" s="6" t="s">
        <v>82</v>
      </c>
      <c r="F5" s="6" t="s">
        <v>215</v>
      </c>
      <c r="G5" s="6" t="s">
        <v>37</v>
      </c>
    </row>
    <row r="6" ht="12.75">
      <c r="A6" s="12"/>
    </row>
    <row r="7" spans="1:7" ht="15">
      <c r="A7" s="12" t="s">
        <v>244</v>
      </c>
      <c r="B7" s="19">
        <f>20.1*60.09/28.09</f>
        <v>42.997828408686374</v>
      </c>
      <c r="E7" s="6">
        <v>43.5</v>
      </c>
      <c r="F7" s="6">
        <v>43.4</v>
      </c>
      <c r="G7" s="6">
        <v>41.42</v>
      </c>
    </row>
    <row r="8" spans="1:7" ht="15">
      <c r="A8" s="12" t="s">
        <v>245</v>
      </c>
      <c r="B8" s="19">
        <f>0.084*79.9/47.9</f>
        <v>0.14011691022964512</v>
      </c>
      <c r="C8" s="6">
        <v>0.18</v>
      </c>
      <c r="E8" s="6">
        <v>0.18</v>
      </c>
      <c r="F8" s="6">
        <v>0.23</v>
      </c>
      <c r="G8" s="6">
        <v>0.17</v>
      </c>
    </row>
    <row r="9" spans="1:7" ht="15">
      <c r="A9" s="12" t="s">
        <v>56</v>
      </c>
      <c r="B9" s="19">
        <f>14.3*102/2/27</f>
        <v>27.011111111111113</v>
      </c>
      <c r="C9" s="6">
        <v>29.2</v>
      </c>
      <c r="E9" s="6">
        <v>28.8</v>
      </c>
      <c r="F9" s="6">
        <v>28.6</v>
      </c>
      <c r="G9" s="6">
        <v>27.76</v>
      </c>
    </row>
    <row r="10" spans="1:7" ht="12.75">
      <c r="A10" s="12" t="s">
        <v>105</v>
      </c>
      <c r="B10" s="19">
        <f>2.89*71.85/55.85</f>
        <v>3.7179319606087735</v>
      </c>
      <c r="C10" s="6">
        <v>3.78</v>
      </c>
      <c r="D10" s="6">
        <v>3.4</v>
      </c>
      <c r="E10" s="6">
        <v>3.62</v>
      </c>
      <c r="F10" s="6">
        <v>3.52</v>
      </c>
      <c r="G10" s="6">
        <v>3.61</v>
      </c>
    </row>
    <row r="11" spans="1:7" ht="12.75">
      <c r="A11" s="12" t="s">
        <v>106</v>
      </c>
      <c r="B11" s="19">
        <f>0.054*74.7/58.7</f>
        <v>0.06871890971039182</v>
      </c>
      <c r="C11" s="6">
        <v>0.05</v>
      </c>
      <c r="E11" s="6">
        <v>0.07</v>
      </c>
      <c r="F11" s="6">
        <v>0.06</v>
      </c>
      <c r="G11" s="6">
        <v>0.07</v>
      </c>
    </row>
    <row r="12" spans="1:7" ht="12.75">
      <c r="A12" s="12" t="s">
        <v>108</v>
      </c>
      <c r="B12" s="19">
        <f>2.9*40.3/24.3</f>
        <v>4.809465020576131</v>
      </c>
      <c r="C12" s="6">
        <v>5.14</v>
      </c>
      <c r="E12" s="6">
        <v>4.62</v>
      </c>
      <c r="F12" s="6">
        <v>3.8</v>
      </c>
      <c r="G12" s="6">
        <v>4.84</v>
      </c>
    </row>
    <row r="13" spans="1:7" ht="12.75">
      <c r="A13" s="12" t="s">
        <v>107</v>
      </c>
      <c r="B13" s="19">
        <f>14.2*56.08/40.08</f>
        <v>19.868662674650697</v>
      </c>
      <c r="C13" s="6">
        <v>17.4</v>
      </c>
      <c r="D13" s="6">
        <v>17</v>
      </c>
      <c r="E13" s="6">
        <v>18.44</v>
      </c>
      <c r="F13" s="6">
        <v>18.7</v>
      </c>
      <c r="G13" s="6">
        <v>17.24</v>
      </c>
    </row>
    <row r="14" spans="1:7" ht="15">
      <c r="A14" s="12" t="s">
        <v>57</v>
      </c>
      <c r="B14" s="19">
        <f>0.235*61.98/2/23</f>
        <v>0.3166369565217391</v>
      </c>
      <c r="C14" s="6">
        <v>0.32</v>
      </c>
      <c r="D14" s="6">
        <v>0.33</v>
      </c>
      <c r="E14" s="6">
        <v>0.34</v>
      </c>
      <c r="F14" s="6">
        <v>0.33</v>
      </c>
      <c r="G14" s="6">
        <v>0.39</v>
      </c>
    </row>
    <row r="15" spans="1:7" ht="15">
      <c r="A15" s="12" t="s">
        <v>58</v>
      </c>
      <c r="B15" s="19">
        <f>0.066*94.2/2/39.1</f>
        <v>0.07950383631713555</v>
      </c>
      <c r="C15" s="6">
        <v>0.07</v>
      </c>
      <c r="D15" s="6">
        <v>0.06</v>
      </c>
      <c r="E15" s="6">
        <v>0.09</v>
      </c>
      <c r="F15" s="6">
        <v>0.1</v>
      </c>
      <c r="G15" s="6">
        <v>0.08</v>
      </c>
    </row>
    <row r="16" spans="1:7" ht="15">
      <c r="A16" s="12" t="s">
        <v>59</v>
      </c>
      <c r="C16" s="6">
        <v>0.11</v>
      </c>
      <c r="E16" s="6">
        <v>0.22</v>
      </c>
      <c r="G16" s="6">
        <v>0.42</v>
      </c>
    </row>
    <row r="17" ht="12.75">
      <c r="A17" s="12" t="s">
        <v>181</v>
      </c>
    </row>
    <row r="18" spans="1:7" ht="12.75">
      <c r="A18" s="12" t="s">
        <v>109</v>
      </c>
      <c r="B18" s="19">
        <f>+SUM(B7:B15)</f>
        <v>99.00997578841199</v>
      </c>
      <c r="E18" s="19">
        <f>+SUM(E7:E15)</f>
        <v>99.66000000000001</v>
      </c>
      <c r="F18" s="19">
        <f>+SUM(F7:F15)</f>
        <v>98.73999999999998</v>
      </c>
      <c r="G18" s="19">
        <f>+SUM(G7:G15)</f>
        <v>95.58</v>
      </c>
    </row>
    <row r="19" ht="12.75">
      <c r="A19" s="12"/>
    </row>
    <row r="20" spans="1:7" ht="12.75">
      <c r="A20" s="12" t="s">
        <v>163</v>
      </c>
      <c r="B20" s="6">
        <v>6.4</v>
      </c>
      <c r="C20" s="6">
        <v>5.4</v>
      </c>
      <c r="D20" s="6">
        <v>5.99</v>
      </c>
      <c r="G20" s="6">
        <v>7</v>
      </c>
    </row>
    <row r="21" spans="1:7" ht="12.75">
      <c r="A21" s="12" t="s">
        <v>110</v>
      </c>
      <c r="B21" s="6">
        <v>23</v>
      </c>
      <c r="G21" s="6">
        <v>18</v>
      </c>
    </row>
    <row r="22" spans="1:7" ht="12.75">
      <c r="A22" s="12" t="s">
        <v>111</v>
      </c>
      <c r="B22" s="6">
        <v>500</v>
      </c>
      <c r="C22" s="6">
        <v>550</v>
      </c>
      <c r="D22" s="6">
        <v>520</v>
      </c>
      <c r="E22" s="21">
        <f>800/152*2*52</f>
        <v>547.3684210526317</v>
      </c>
      <c r="G22" s="6">
        <v>527</v>
      </c>
    </row>
    <row r="23" spans="1:7" ht="12.75">
      <c r="A23" s="12" t="s">
        <v>112</v>
      </c>
      <c r="B23" s="6">
        <v>15.1</v>
      </c>
      <c r="C23" s="6">
        <v>14</v>
      </c>
      <c r="D23" s="6">
        <v>13.84</v>
      </c>
      <c r="G23" s="6">
        <v>15</v>
      </c>
    </row>
    <row r="24" spans="1:7" ht="12.75">
      <c r="A24" s="12" t="s">
        <v>113</v>
      </c>
      <c r="B24" s="6">
        <v>160</v>
      </c>
      <c r="C24" s="6">
        <v>113</v>
      </c>
      <c r="D24" s="6">
        <v>132</v>
      </c>
      <c r="G24" s="6">
        <v>143</v>
      </c>
    </row>
    <row r="25" spans="1:7" ht="12.75">
      <c r="A25" s="12" t="s">
        <v>114</v>
      </c>
      <c r="G25" s="6">
        <v>16</v>
      </c>
    </row>
    <row r="26" spans="1:7" ht="12.75">
      <c r="A26" s="12" t="s">
        <v>115</v>
      </c>
      <c r="G26" s="6">
        <v>5</v>
      </c>
    </row>
    <row r="27" spans="1:7" ht="12.75">
      <c r="A27" s="12" t="s">
        <v>116</v>
      </c>
      <c r="B27" s="6">
        <v>2.9</v>
      </c>
      <c r="G27" s="6">
        <v>3.66</v>
      </c>
    </row>
    <row r="28" ht="12.75">
      <c r="A28" s="12" t="s">
        <v>117</v>
      </c>
    </row>
    <row r="29" spans="1:4" ht="12.75">
      <c r="A29" s="12" t="s">
        <v>118</v>
      </c>
      <c r="B29" s="6">
        <v>1.02</v>
      </c>
      <c r="D29" s="6">
        <v>0.79</v>
      </c>
    </row>
    <row r="30" ht="12.75">
      <c r="A30" s="12" t="s">
        <v>119</v>
      </c>
    </row>
    <row r="31" spans="1:7" ht="12.75">
      <c r="A31" s="12" t="s">
        <v>120</v>
      </c>
      <c r="D31" s="6" t="s">
        <v>182</v>
      </c>
      <c r="G31" s="6">
        <v>0.882</v>
      </c>
    </row>
    <row r="32" spans="1:7" ht="12.75">
      <c r="A32" s="12" t="s">
        <v>121</v>
      </c>
      <c r="B32" s="6">
        <v>300</v>
      </c>
      <c r="C32" s="6">
        <v>190</v>
      </c>
      <c r="D32" s="6">
        <v>268</v>
      </c>
      <c r="G32" s="6">
        <v>451</v>
      </c>
    </row>
    <row r="33" spans="1:7" ht="12.75">
      <c r="A33" s="12" t="s">
        <v>122</v>
      </c>
      <c r="G33" s="6">
        <v>10</v>
      </c>
    </row>
    <row r="34" spans="1:7" ht="12.75">
      <c r="A34" s="12" t="s">
        <v>123</v>
      </c>
      <c r="B34" s="6" t="s">
        <v>91</v>
      </c>
      <c r="D34" s="6">
        <v>28</v>
      </c>
      <c r="G34" s="6">
        <v>40</v>
      </c>
    </row>
    <row r="35" spans="1:7" ht="12.75">
      <c r="A35" s="12" t="s">
        <v>124</v>
      </c>
      <c r="G35" s="6">
        <v>2.26</v>
      </c>
    </row>
    <row r="36" spans="1:7" ht="12.75">
      <c r="A36" s="12" t="s">
        <v>125</v>
      </c>
      <c r="G36" s="6">
        <v>0.945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spans="1:4" ht="12.75">
      <c r="A44" s="12" t="s">
        <v>130</v>
      </c>
      <c r="B44" s="6">
        <v>72</v>
      </c>
      <c r="D44" s="6">
        <v>151</v>
      </c>
    </row>
    <row r="45" ht="12.75">
      <c r="A45" s="12" t="s">
        <v>131</v>
      </c>
    </row>
    <row r="46" spans="1:7" ht="12.75">
      <c r="A46" s="12" t="s">
        <v>132</v>
      </c>
      <c r="B46" s="6">
        <v>0.066</v>
      </c>
      <c r="D46" s="6">
        <v>0.043</v>
      </c>
      <c r="G46" s="6">
        <v>0.022</v>
      </c>
    </row>
    <row r="47" spans="1:7" ht="12.75">
      <c r="A47" s="12" t="s">
        <v>133</v>
      </c>
      <c r="B47" s="6">
        <v>820</v>
      </c>
      <c r="C47" s="6">
        <v>140</v>
      </c>
      <c r="D47" s="6">
        <v>257</v>
      </c>
      <c r="G47" s="6">
        <v>1203</v>
      </c>
    </row>
    <row r="48" spans="1:7" ht="12.75">
      <c r="A48" s="12" t="s">
        <v>134</v>
      </c>
      <c r="B48" s="6">
        <v>2.5</v>
      </c>
      <c r="D48" s="6">
        <v>2.22</v>
      </c>
      <c r="G48" s="6">
        <v>3.52</v>
      </c>
    </row>
    <row r="49" spans="1:7" ht="12.75">
      <c r="A49" s="12" t="s">
        <v>135</v>
      </c>
      <c r="B49" s="6">
        <v>5.3</v>
      </c>
      <c r="D49" s="6">
        <v>5.52</v>
      </c>
      <c r="G49" s="6">
        <v>7.62</v>
      </c>
    </row>
    <row r="50" spans="1:7" ht="12.75">
      <c r="A50" s="12" t="s">
        <v>136</v>
      </c>
      <c r="G50" s="6">
        <v>1.07</v>
      </c>
    </row>
    <row r="51" spans="1:7" ht="12.75">
      <c r="A51" s="12" t="s">
        <v>137</v>
      </c>
      <c r="B51" s="6">
        <v>2.6</v>
      </c>
      <c r="D51" s="6">
        <v>3.3</v>
      </c>
      <c r="G51" s="6">
        <v>4.85</v>
      </c>
    </row>
    <row r="52" spans="1:7" ht="12.75">
      <c r="A52" s="12" t="s">
        <v>138</v>
      </c>
      <c r="B52" s="6">
        <v>0.93</v>
      </c>
      <c r="D52" s="6">
        <v>0.894</v>
      </c>
      <c r="G52" s="6">
        <v>1.33</v>
      </c>
    </row>
    <row r="53" spans="1:7" ht="12.75">
      <c r="A53" s="12" t="s">
        <v>139</v>
      </c>
      <c r="B53" s="6">
        <v>0.78</v>
      </c>
      <c r="D53" s="6">
        <v>0.717</v>
      </c>
      <c r="G53" s="6">
        <v>1.02</v>
      </c>
    </row>
    <row r="54" spans="1:7" ht="12.75">
      <c r="A54" s="12" t="s">
        <v>140</v>
      </c>
      <c r="G54" s="6">
        <v>1.48</v>
      </c>
    </row>
    <row r="55" spans="1:7" ht="12.75">
      <c r="A55" s="12" t="s">
        <v>141</v>
      </c>
      <c r="B55" s="6">
        <v>0.21</v>
      </c>
      <c r="D55" s="6">
        <v>0.18</v>
      </c>
      <c r="G55" s="6">
        <v>0.266</v>
      </c>
    </row>
    <row r="56" spans="1:7" ht="12.75">
      <c r="A56" s="12" t="s">
        <v>142</v>
      </c>
      <c r="B56" s="6">
        <v>1.36</v>
      </c>
      <c r="G56" s="6">
        <v>1.62</v>
      </c>
    </row>
    <row r="57" spans="1:7" ht="12.75">
      <c r="A57" s="12" t="s">
        <v>143</v>
      </c>
      <c r="B57" s="6">
        <v>0.25</v>
      </c>
      <c r="G57" s="6">
        <v>0.342</v>
      </c>
    </row>
    <row r="58" spans="1:7" ht="12.75">
      <c r="A58" s="12" t="s">
        <v>144</v>
      </c>
      <c r="G58" s="6">
        <v>1</v>
      </c>
    </row>
    <row r="59" spans="1:7" ht="12.75">
      <c r="A59" s="12" t="s">
        <v>145</v>
      </c>
      <c r="G59" s="6">
        <v>0.141</v>
      </c>
    </row>
    <row r="60" spans="1:7" ht="12.75">
      <c r="A60" s="12" t="s">
        <v>146</v>
      </c>
      <c r="B60" s="6">
        <v>0.73</v>
      </c>
      <c r="D60" s="6">
        <v>0.689</v>
      </c>
      <c r="G60" s="6">
        <v>0.903</v>
      </c>
    </row>
    <row r="61" spans="1:7" ht="12.75">
      <c r="A61" s="12" t="s">
        <v>147</v>
      </c>
      <c r="B61" s="6">
        <v>0.078</v>
      </c>
      <c r="D61" s="6">
        <v>0.096</v>
      </c>
      <c r="G61" s="6">
        <v>0.129</v>
      </c>
    </row>
    <row r="62" spans="1:7" ht="12.75">
      <c r="A62" s="12" t="s">
        <v>148</v>
      </c>
      <c r="B62" s="6">
        <v>0.65</v>
      </c>
      <c r="D62" s="6">
        <v>0.628</v>
      </c>
      <c r="G62" s="6">
        <v>0.691</v>
      </c>
    </row>
    <row r="63" spans="1:7" ht="12.75">
      <c r="A63" s="12" t="s">
        <v>149</v>
      </c>
      <c r="B63" s="6">
        <v>0.107</v>
      </c>
      <c r="D63" s="6">
        <v>0.12</v>
      </c>
      <c r="G63" s="6">
        <v>0.195</v>
      </c>
    </row>
    <row r="64" spans="1:4" ht="12.75">
      <c r="A64" s="12" t="s">
        <v>150</v>
      </c>
      <c r="D64" s="6">
        <v>2000</v>
      </c>
    </row>
    <row r="65" ht="12.75">
      <c r="A65" s="12" t="s">
        <v>151</v>
      </c>
    </row>
    <row r="66" ht="12.75">
      <c r="A66" s="12" t="s">
        <v>152</v>
      </c>
    </row>
    <row r="67" spans="1:4" ht="12.75">
      <c r="A67" s="12" t="s">
        <v>153</v>
      </c>
      <c r="B67" s="6">
        <v>5.3</v>
      </c>
      <c r="C67" s="6">
        <v>4</v>
      </c>
      <c r="D67" s="6">
        <v>4.2</v>
      </c>
    </row>
    <row r="68" ht="12.75">
      <c r="A68" s="12" t="s">
        <v>166</v>
      </c>
    </row>
    <row r="69" spans="1:4" ht="12.75">
      <c r="A69" s="12" t="s">
        <v>154</v>
      </c>
      <c r="B69" s="6">
        <v>2.3</v>
      </c>
      <c r="D69" s="6">
        <v>26</v>
      </c>
    </row>
    <row r="70" spans="1:4" ht="12.75">
      <c r="A70" s="12" t="s">
        <v>155</v>
      </c>
      <c r="B70" s="6">
        <v>0.37</v>
      </c>
      <c r="D70" s="6">
        <v>0.302</v>
      </c>
    </row>
    <row r="71" spans="1:4" ht="12.75">
      <c r="A71" s="12" t="s">
        <v>156</v>
      </c>
      <c r="B71" s="6">
        <v>0.58</v>
      </c>
      <c r="D71" s="6">
        <v>0.29</v>
      </c>
    </row>
    <row r="73" spans="1:7" s="29" customFormat="1" ht="12.75">
      <c r="A73" s="28" t="s">
        <v>81</v>
      </c>
      <c r="B73" s="31"/>
      <c r="C73" s="31"/>
      <c r="D73" s="31"/>
      <c r="E73" s="31"/>
      <c r="F73" s="31"/>
      <c r="G73" s="31"/>
    </row>
    <row r="75" ht="13.5">
      <c r="A75" s="18" t="s">
        <v>90</v>
      </c>
    </row>
    <row r="76" spans="1:7" ht="13.5">
      <c r="A76" s="8" t="s">
        <v>174</v>
      </c>
      <c r="G76" s="6">
        <v>6</v>
      </c>
    </row>
    <row r="77" spans="1:7" ht="13.5">
      <c r="A77" s="8" t="s">
        <v>169</v>
      </c>
      <c r="G77" s="6">
        <v>0.294</v>
      </c>
    </row>
    <row r="78" ht="13.5">
      <c r="A78" s="8" t="s">
        <v>170</v>
      </c>
    </row>
    <row r="79" ht="13.5">
      <c r="A79" s="8" t="s">
        <v>171</v>
      </c>
    </row>
    <row r="80" ht="13.5">
      <c r="A80" s="8"/>
    </row>
    <row r="81" ht="13.5">
      <c r="A81" s="8" t="s">
        <v>176</v>
      </c>
    </row>
    <row r="82" ht="13.5">
      <c r="A82" s="8" t="s">
        <v>172</v>
      </c>
    </row>
    <row r="83" spans="1:4" ht="13.5">
      <c r="A83" s="8" t="s">
        <v>175</v>
      </c>
      <c r="B83" s="6">
        <v>3.6</v>
      </c>
      <c r="D83" s="6">
        <v>1</v>
      </c>
    </row>
    <row r="84" ht="13.5">
      <c r="A84" s="8" t="s">
        <v>173</v>
      </c>
    </row>
    <row r="85" ht="13.5">
      <c r="A85" s="8"/>
    </row>
    <row r="86" spans="1:7" ht="13.5">
      <c r="A86" s="8" t="s">
        <v>179</v>
      </c>
      <c r="G86" s="6">
        <v>1.35</v>
      </c>
    </row>
    <row r="87" ht="13.5">
      <c r="A87" s="8" t="s">
        <v>180</v>
      </c>
    </row>
    <row r="88" spans="1:7" ht="13.5">
      <c r="A88" s="8" t="s">
        <v>178</v>
      </c>
      <c r="G88" s="6">
        <v>0.105</v>
      </c>
    </row>
    <row r="89" ht="13.5">
      <c r="A89" s="8" t="s">
        <v>177</v>
      </c>
    </row>
    <row r="91" ht="13.5">
      <c r="A91" s="8" t="s">
        <v>94</v>
      </c>
    </row>
    <row r="93" ht="12.75">
      <c r="A93" s="1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3"/>
  <sheetViews>
    <sheetView zoomScale="75" zoomScaleNormal="75" workbookViewId="0" topLeftCell="A70">
      <selection activeCell="A1" sqref="A1:D91"/>
    </sheetView>
  </sheetViews>
  <sheetFormatPr defaultColWidth="9.140625" defaultRowHeight="12.75"/>
  <cols>
    <col min="2" max="4" width="8.8515625" style="6" customWidth="1"/>
  </cols>
  <sheetData>
    <row r="1" ht="15">
      <c r="A1" s="16" t="s">
        <v>92</v>
      </c>
    </row>
    <row r="2" spans="1:4" ht="12.75">
      <c r="A2" s="12"/>
      <c r="D2" s="6" t="s">
        <v>290</v>
      </c>
    </row>
    <row r="3" spans="1:4" s="6" customFormat="1" ht="12.75">
      <c r="A3" s="30" t="s">
        <v>103</v>
      </c>
      <c r="B3" s="6">
        <v>1</v>
      </c>
      <c r="C3" s="6">
        <v>2</v>
      </c>
      <c r="D3" s="6">
        <v>3</v>
      </c>
    </row>
    <row r="4" spans="1:2" s="6" customFormat="1" ht="12.75">
      <c r="A4" s="30" t="s">
        <v>104</v>
      </c>
      <c r="B4" s="6">
        <v>408</v>
      </c>
    </row>
    <row r="5" spans="1:4" s="6" customFormat="1" ht="12.75">
      <c r="A5" s="30" t="s">
        <v>243</v>
      </c>
      <c r="B5" s="6" t="s">
        <v>215</v>
      </c>
      <c r="C5" s="6" t="s">
        <v>82</v>
      </c>
      <c r="D5" s="6" t="s">
        <v>7</v>
      </c>
    </row>
    <row r="6" ht="12.75">
      <c r="A6" s="12"/>
    </row>
    <row r="7" spans="1:4" ht="15">
      <c r="A7" s="12" t="s">
        <v>244</v>
      </c>
      <c r="B7" s="19">
        <f>20.9*60.09/28.09</f>
        <v>44.70918476326095</v>
      </c>
      <c r="C7" s="6">
        <v>45</v>
      </c>
      <c r="D7" s="6">
        <v>44.4</v>
      </c>
    </row>
    <row r="8" spans="1:4" ht="15">
      <c r="A8" s="12" t="s">
        <v>245</v>
      </c>
      <c r="B8" s="19">
        <f>0.089*79.9/47.9</f>
        <v>0.1484572025052192</v>
      </c>
      <c r="C8" s="6">
        <v>0.1</v>
      </c>
      <c r="D8" s="6">
        <v>0.19</v>
      </c>
    </row>
    <row r="9" spans="1:4" ht="15">
      <c r="A9" s="12" t="s">
        <v>56</v>
      </c>
      <c r="B9" s="19">
        <f>16.5*102/2/27</f>
        <v>31.166666666666668</v>
      </c>
      <c r="C9" s="6">
        <v>32</v>
      </c>
      <c r="D9" s="6">
        <v>30.7</v>
      </c>
    </row>
    <row r="10" spans="1:4" ht="12.75">
      <c r="A10" s="12" t="s">
        <v>105</v>
      </c>
      <c r="B10" s="19">
        <f>2.36*71.85/55.85</f>
        <v>3.0360966875559527</v>
      </c>
      <c r="C10" s="6">
        <v>3.2</v>
      </c>
      <c r="D10" s="6">
        <v>3.4</v>
      </c>
    </row>
    <row r="11" spans="1:4" ht="12.75">
      <c r="A11" s="12" t="s">
        <v>106</v>
      </c>
      <c r="B11" s="19">
        <f>0.037*74.7/58.7</f>
        <v>0.04708517887563884</v>
      </c>
      <c r="C11" s="6">
        <v>0.05</v>
      </c>
      <c r="D11" s="6">
        <v>0.05</v>
      </c>
    </row>
    <row r="12" spans="1:4" ht="12.75">
      <c r="A12" s="12" t="s">
        <v>108</v>
      </c>
      <c r="B12" s="19">
        <f>1.69*40.3/24.3</f>
        <v>2.80275720164609</v>
      </c>
      <c r="C12" s="6">
        <v>2.4</v>
      </c>
      <c r="D12" s="6">
        <v>2.53</v>
      </c>
    </row>
    <row r="13" spans="1:4" ht="12.75">
      <c r="A13" s="12" t="s">
        <v>107</v>
      </c>
      <c r="B13" s="19">
        <f>12.6*56.08/40.08</f>
        <v>17.62994011976048</v>
      </c>
      <c r="C13" s="6">
        <v>16</v>
      </c>
      <c r="D13" s="6">
        <v>18.2</v>
      </c>
    </row>
    <row r="14" spans="1:4" ht="15">
      <c r="A14" s="12" t="s">
        <v>57</v>
      </c>
      <c r="B14" s="19">
        <f>0.227*61.98/2/23</f>
        <v>0.3058578260869565</v>
      </c>
      <c r="C14" s="6">
        <v>0.7</v>
      </c>
      <c r="D14" s="6">
        <v>0.39</v>
      </c>
    </row>
    <row r="15" spans="1:4" ht="15">
      <c r="A15" s="12" t="s">
        <v>58</v>
      </c>
      <c r="B15" s="19">
        <f>0.017*94.2/2/39.1</f>
        <v>0.02047826086956522</v>
      </c>
      <c r="C15" s="6">
        <v>0.06</v>
      </c>
      <c r="D15" s="6">
        <v>0.02</v>
      </c>
    </row>
    <row r="16" spans="1:4" ht="15">
      <c r="A16" s="12" t="s">
        <v>59</v>
      </c>
      <c r="C16" s="6">
        <v>0.1</v>
      </c>
      <c r="D16" s="6">
        <v>0.06</v>
      </c>
    </row>
    <row r="17" ht="12.75">
      <c r="A17" s="12" t="s">
        <v>181</v>
      </c>
    </row>
    <row r="18" ht="12.75">
      <c r="A18" s="12" t="s">
        <v>109</v>
      </c>
    </row>
    <row r="19" ht="12.75">
      <c r="A19" s="12"/>
    </row>
    <row r="20" spans="1:4" ht="12.75">
      <c r="A20" s="12" t="s">
        <v>163</v>
      </c>
      <c r="B20" s="6">
        <v>5.8</v>
      </c>
      <c r="D20" s="6">
        <v>5.6</v>
      </c>
    </row>
    <row r="21" spans="1:2" ht="12.75">
      <c r="A21" s="12" t="s">
        <v>110</v>
      </c>
      <c r="B21" s="6">
        <v>19</v>
      </c>
    </row>
    <row r="22" spans="1:4" ht="12.75">
      <c r="A22" s="12" t="s">
        <v>111</v>
      </c>
      <c r="B22" s="6">
        <v>380</v>
      </c>
      <c r="C22" s="6">
        <v>520</v>
      </c>
      <c r="D22" s="6">
        <v>287</v>
      </c>
    </row>
    <row r="23" spans="1:4" ht="12.75">
      <c r="A23" s="12" t="s">
        <v>112</v>
      </c>
      <c r="B23" s="6">
        <v>10.4</v>
      </c>
      <c r="D23" s="6">
        <v>9.1</v>
      </c>
    </row>
    <row r="24" spans="1:4" ht="12.75">
      <c r="A24" s="12" t="s">
        <v>113</v>
      </c>
      <c r="B24" s="6">
        <v>94</v>
      </c>
      <c r="C24" s="6">
        <v>90</v>
      </c>
      <c r="D24" s="6">
        <v>170</v>
      </c>
    </row>
    <row r="25" ht="12.75">
      <c r="A25" s="12" t="s">
        <v>114</v>
      </c>
    </row>
    <row r="26" ht="12.75">
      <c r="A26" s="12" t="s">
        <v>115</v>
      </c>
    </row>
    <row r="27" spans="1:2" ht="12.75">
      <c r="A27" s="12" t="s">
        <v>116</v>
      </c>
      <c r="B27" s="6">
        <v>2.4</v>
      </c>
    </row>
    <row r="28" ht="12.75">
      <c r="A28" s="12" t="s">
        <v>117</v>
      </c>
    </row>
    <row r="29" spans="1:2" ht="12.75">
      <c r="A29" s="12" t="s">
        <v>118</v>
      </c>
      <c r="B29" s="6" t="s">
        <v>95</v>
      </c>
    </row>
    <row r="30" ht="12.75">
      <c r="A30" s="12" t="s">
        <v>119</v>
      </c>
    </row>
    <row r="31" ht="12.75">
      <c r="A31" s="12" t="s">
        <v>120</v>
      </c>
    </row>
    <row r="32" spans="1:4" ht="12.75">
      <c r="A32" s="12" t="s">
        <v>121</v>
      </c>
      <c r="B32" s="6">
        <v>280</v>
      </c>
      <c r="D32" s="6">
        <v>220</v>
      </c>
    </row>
    <row r="33" ht="12.75">
      <c r="A33" s="12" t="s">
        <v>122</v>
      </c>
    </row>
    <row r="34" spans="1:4" ht="12.75">
      <c r="A34" s="12" t="s">
        <v>123</v>
      </c>
      <c r="B34" s="6" t="s">
        <v>222</v>
      </c>
      <c r="D34" s="6">
        <v>25</v>
      </c>
    </row>
    <row r="35" ht="12.75">
      <c r="A35" s="12" t="s">
        <v>124</v>
      </c>
    </row>
    <row r="36" ht="12.75">
      <c r="A36" s="12" t="s">
        <v>125</v>
      </c>
    </row>
    <row r="37" ht="12.75">
      <c r="A37" s="12" t="s">
        <v>167</v>
      </c>
    </row>
    <row r="38" ht="12.75">
      <c r="A38" s="12" t="s">
        <v>168</v>
      </c>
    </row>
    <row r="39" ht="12.75">
      <c r="A39" s="12" t="s">
        <v>126</v>
      </c>
    </row>
    <row r="40" ht="12.75">
      <c r="A40" s="12" t="s">
        <v>127</v>
      </c>
    </row>
    <row r="41" ht="12.75">
      <c r="A41" s="12" t="s">
        <v>128</v>
      </c>
    </row>
    <row r="42" ht="12.75">
      <c r="A42" s="12" t="s">
        <v>129</v>
      </c>
    </row>
    <row r="43" ht="12.75">
      <c r="A43" s="12" t="s">
        <v>164</v>
      </c>
    </row>
    <row r="44" spans="1:2" ht="12.75">
      <c r="A44" s="12" t="s">
        <v>130</v>
      </c>
      <c r="B44" s="6" t="s">
        <v>96</v>
      </c>
    </row>
    <row r="45" ht="12.75">
      <c r="A45" s="12" t="s">
        <v>131</v>
      </c>
    </row>
    <row r="46" spans="1:2" ht="12.75">
      <c r="A46" s="12" t="s">
        <v>132</v>
      </c>
      <c r="B46" s="6">
        <v>0.038</v>
      </c>
    </row>
    <row r="47" spans="1:4" ht="12.75">
      <c r="A47" s="12" t="s">
        <v>133</v>
      </c>
      <c r="B47" s="6">
        <v>20</v>
      </c>
      <c r="D47" s="6">
        <v>25</v>
      </c>
    </row>
    <row r="48" spans="1:4" ht="12.75">
      <c r="A48" s="12" t="s">
        <v>134</v>
      </c>
      <c r="B48" s="6">
        <v>1.43</v>
      </c>
      <c r="D48" s="6">
        <v>1.6</v>
      </c>
    </row>
    <row r="49" spans="1:4" ht="12.75">
      <c r="A49" s="12" t="s">
        <v>135</v>
      </c>
      <c r="B49" s="6">
        <v>3.6</v>
      </c>
      <c r="D49" s="6">
        <v>3.3</v>
      </c>
    </row>
    <row r="50" ht="12.75">
      <c r="A50" s="12" t="s">
        <v>136</v>
      </c>
    </row>
    <row r="51" spans="1:4" ht="12.75">
      <c r="A51" s="12" t="s">
        <v>137</v>
      </c>
      <c r="B51" s="6">
        <v>1.96</v>
      </c>
      <c r="D51" s="6">
        <v>2</v>
      </c>
    </row>
    <row r="52" spans="1:4" ht="12.75">
      <c r="A52" s="12" t="s">
        <v>138</v>
      </c>
      <c r="B52" s="6">
        <v>0.6</v>
      </c>
      <c r="D52" s="6">
        <v>0.6</v>
      </c>
    </row>
    <row r="53" spans="1:4" ht="12.75">
      <c r="A53" s="12" t="s">
        <v>139</v>
      </c>
      <c r="B53" s="6">
        <v>0.85</v>
      </c>
      <c r="D53" s="6">
        <v>0.8</v>
      </c>
    </row>
    <row r="54" ht="12.75">
      <c r="A54" s="12" t="s">
        <v>140</v>
      </c>
    </row>
    <row r="55" spans="1:4" ht="12.75">
      <c r="A55" s="12" t="s">
        <v>141</v>
      </c>
      <c r="B55" s="6">
        <v>0.139</v>
      </c>
      <c r="D55" s="6">
        <v>0.14</v>
      </c>
    </row>
    <row r="56" spans="1:2" ht="12.75">
      <c r="A56" s="12" t="s">
        <v>142</v>
      </c>
      <c r="B56" s="6" t="s">
        <v>97</v>
      </c>
    </row>
    <row r="57" spans="1:2" ht="12.75">
      <c r="A57" s="12" t="s">
        <v>143</v>
      </c>
      <c r="B57" s="6">
        <v>0.18</v>
      </c>
    </row>
    <row r="58" ht="12.75">
      <c r="A58" s="12" t="s">
        <v>144</v>
      </c>
    </row>
    <row r="59" ht="12.75">
      <c r="A59" s="12" t="s">
        <v>145</v>
      </c>
    </row>
    <row r="60" spans="1:4" ht="12.75">
      <c r="A60" s="12" t="s">
        <v>146</v>
      </c>
      <c r="B60" s="6">
        <v>0.53</v>
      </c>
      <c r="D60" s="6">
        <v>0.47</v>
      </c>
    </row>
    <row r="61" spans="1:4" ht="12.75">
      <c r="A61" s="12" t="s">
        <v>147</v>
      </c>
      <c r="B61" s="6">
        <v>0.074</v>
      </c>
      <c r="D61" s="6">
        <v>0.08</v>
      </c>
    </row>
    <row r="62" spans="1:4" ht="12.75">
      <c r="A62" s="12" t="s">
        <v>148</v>
      </c>
      <c r="B62" s="6">
        <v>0.49</v>
      </c>
      <c r="D62" s="6">
        <v>0.49</v>
      </c>
    </row>
    <row r="63" spans="1:4" ht="12.75">
      <c r="A63" s="12" t="s">
        <v>149</v>
      </c>
      <c r="B63" s="6">
        <v>0.067</v>
      </c>
      <c r="D63" s="6">
        <v>0.35</v>
      </c>
    </row>
    <row r="64" ht="12.75">
      <c r="A64" s="12" t="s">
        <v>150</v>
      </c>
    </row>
    <row r="65" ht="12.75">
      <c r="A65" s="12" t="s">
        <v>151</v>
      </c>
    </row>
    <row r="66" ht="12.75">
      <c r="A66" s="12" t="s">
        <v>152</v>
      </c>
    </row>
    <row r="67" spans="1:4" ht="12.75">
      <c r="A67" s="12" t="s">
        <v>153</v>
      </c>
      <c r="B67" s="6">
        <v>4.8</v>
      </c>
      <c r="D67" s="6">
        <v>9.9</v>
      </c>
    </row>
    <row r="68" ht="12.75">
      <c r="A68" s="12" t="s">
        <v>166</v>
      </c>
    </row>
    <row r="69" spans="1:4" ht="12.75">
      <c r="A69" s="12" t="s">
        <v>154</v>
      </c>
      <c r="B69" s="6">
        <v>5.5</v>
      </c>
      <c r="D69" s="6">
        <v>5</v>
      </c>
    </row>
    <row r="70" spans="1:4" ht="12.75">
      <c r="A70" s="12" t="s">
        <v>155</v>
      </c>
      <c r="B70" s="6">
        <v>0.2</v>
      </c>
      <c r="D70" s="6">
        <v>0.33</v>
      </c>
    </row>
    <row r="71" spans="1:2" ht="12.75">
      <c r="A71" s="12" t="s">
        <v>156</v>
      </c>
      <c r="B71" s="6">
        <v>0.075</v>
      </c>
    </row>
    <row r="73" spans="1:4" s="29" customFormat="1" ht="12.75">
      <c r="A73" s="28" t="s">
        <v>81</v>
      </c>
      <c r="B73" s="31"/>
      <c r="C73" s="31"/>
      <c r="D73" s="31"/>
    </row>
    <row r="75" ht="13.5">
      <c r="A75" s="18" t="s">
        <v>93</v>
      </c>
    </row>
    <row r="76" ht="13.5">
      <c r="A76" s="8" t="s">
        <v>174</v>
      </c>
    </row>
    <row r="77" ht="13.5">
      <c r="A77" s="8" t="s">
        <v>169</v>
      </c>
    </row>
    <row r="78" ht="13.5">
      <c r="A78" s="8" t="s">
        <v>170</v>
      </c>
    </row>
    <row r="79" ht="13.5">
      <c r="A79" s="8" t="s">
        <v>171</v>
      </c>
    </row>
    <row r="80" ht="13.5">
      <c r="A80" s="8"/>
    </row>
    <row r="81" ht="13.5">
      <c r="A81" s="8" t="s">
        <v>176</v>
      </c>
    </row>
    <row r="82" ht="13.5">
      <c r="A82" s="8" t="s">
        <v>172</v>
      </c>
    </row>
    <row r="83" spans="1:2" ht="13.5">
      <c r="A83" s="8" t="s">
        <v>175</v>
      </c>
      <c r="B83" s="6">
        <v>0.35</v>
      </c>
    </row>
    <row r="84" ht="13.5">
      <c r="A84" s="8" t="s">
        <v>173</v>
      </c>
    </row>
    <row r="85" ht="13.5">
      <c r="A85" s="8"/>
    </row>
    <row r="86" ht="13.5">
      <c r="A86" s="8" t="s">
        <v>179</v>
      </c>
    </row>
    <row r="87" ht="13.5">
      <c r="A87" s="8" t="s">
        <v>180</v>
      </c>
    </row>
    <row r="88" ht="13.5">
      <c r="A88" s="8" t="s">
        <v>178</v>
      </c>
    </row>
    <row r="89" ht="13.5">
      <c r="A89" s="8" t="s">
        <v>177</v>
      </c>
    </row>
    <row r="91" ht="13.5">
      <c r="A91" s="8" t="s">
        <v>291</v>
      </c>
    </row>
    <row r="93" ht="12.75">
      <c r="A93" s="1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68">
      <selection activeCell="F93" sqref="F93"/>
    </sheetView>
  </sheetViews>
  <sheetFormatPr defaultColWidth="9.140625" defaultRowHeight="12.75"/>
  <sheetData>
    <row r="1" ht="15">
      <c r="A1" s="16" t="s">
        <v>98</v>
      </c>
    </row>
    <row r="2" spans="1:8" ht="12.75">
      <c r="A2" s="12"/>
      <c r="F2" t="s">
        <v>289</v>
      </c>
      <c r="G2" t="s">
        <v>292</v>
      </c>
      <c r="H2" t="s">
        <v>293</v>
      </c>
    </row>
    <row r="3" spans="1:8" ht="12.75">
      <c r="A3" s="30" t="s">
        <v>103</v>
      </c>
      <c r="B3" s="6">
        <v>1</v>
      </c>
      <c r="C3" s="6">
        <v>2</v>
      </c>
      <c r="D3" s="6">
        <v>3</v>
      </c>
      <c r="E3" s="6">
        <v>3</v>
      </c>
      <c r="F3" s="6">
        <v>4</v>
      </c>
      <c r="G3" s="6">
        <v>4</v>
      </c>
      <c r="H3" s="6">
        <v>4</v>
      </c>
    </row>
    <row r="4" spans="1:5" ht="12.75">
      <c r="A4" s="30" t="s">
        <v>104</v>
      </c>
      <c r="B4" s="6">
        <v>104</v>
      </c>
      <c r="C4" s="6">
        <v>1000</v>
      </c>
      <c r="D4" s="6">
        <v>73</v>
      </c>
      <c r="E4" s="6">
        <v>31.5</v>
      </c>
    </row>
    <row r="5" spans="1:8" ht="12.75">
      <c r="A5" s="30" t="s">
        <v>243</v>
      </c>
      <c r="B5" s="6" t="s">
        <v>215</v>
      </c>
      <c r="C5" s="6" t="s">
        <v>101</v>
      </c>
      <c r="D5" s="6" t="s">
        <v>215</v>
      </c>
      <c r="E5" s="6" t="s">
        <v>82</v>
      </c>
      <c r="F5" s="6" t="s">
        <v>215</v>
      </c>
      <c r="G5" s="6" t="s">
        <v>7</v>
      </c>
      <c r="H5" s="6" t="s">
        <v>7</v>
      </c>
    </row>
    <row r="6" spans="1:5" ht="12.75">
      <c r="A6" s="12"/>
      <c r="B6" s="6"/>
      <c r="C6" s="6"/>
      <c r="D6" s="6"/>
      <c r="E6" s="6"/>
    </row>
    <row r="7" spans="1:8" ht="15">
      <c r="A7" s="12" t="s">
        <v>244</v>
      </c>
      <c r="B7" s="19">
        <f>20.9*60.09/28.09</f>
        <v>44.70918476326095</v>
      </c>
      <c r="C7" s="6">
        <v>43.9</v>
      </c>
      <c r="D7" s="6"/>
      <c r="E7" s="6">
        <v>44.2</v>
      </c>
      <c r="G7">
        <v>44.1</v>
      </c>
      <c r="H7" s="6">
        <v>45</v>
      </c>
    </row>
    <row r="8" spans="1:8" ht="15">
      <c r="A8" s="12" t="s">
        <v>245</v>
      </c>
      <c r="B8" s="19">
        <f>0.18*79.9/47.9</f>
        <v>0.30025052192066803</v>
      </c>
      <c r="C8" s="6">
        <v>0.3</v>
      </c>
      <c r="D8" s="6"/>
      <c r="E8" s="6">
        <v>0.29</v>
      </c>
      <c r="G8">
        <v>0.36</v>
      </c>
      <c r="H8" s="6">
        <v>0.34</v>
      </c>
    </row>
    <row r="9" spans="1:8" ht="15">
      <c r="A9" s="12" t="s">
        <v>56</v>
      </c>
      <c r="B9" s="19">
        <f>14.1*102/2/27</f>
        <v>26.633333333333333</v>
      </c>
      <c r="C9" s="6">
        <v>26.1</v>
      </c>
      <c r="D9" s="6"/>
      <c r="E9" s="6">
        <v>26.9</v>
      </c>
      <c r="G9">
        <v>28.6</v>
      </c>
      <c r="H9" s="6">
        <v>25.3</v>
      </c>
    </row>
    <row r="10" spans="1:8" ht="12.75">
      <c r="A10" s="12" t="s">
        <v>105</v>
      </c>
      <c r="B10" s="19">
        <f>3.75*71.85/55.85</f>
        <v>4.824306177260519</v>
      </c>
      <c r="C10" s="6">
        <v>4.98</v>
      </c>
      <c r="D10" s="6">
        <v>4.76</v>
      </c>
      <c r="E10" s="6">
        <v>4.9</v>
      </c>
      <c r="F10" s="6">
        <v>5.41</v>
      </c>
      <c r="G10" s="6">
        <v>4.27</v>
      </c>
      <c r="H10" s="6">
        <v>5.71</v>
      </c>
    </row>
    <row r="11" spans="1:8" ht="12.75">
      <c r="A11" s="12" t="s">
        <v>106</v>
      </c>
      <c r="B11" s="19">
        <f>0.057*74.7/58.7</f>
        <v>0.0725366269165247</v>
      </c>
      <c r="C11" s="6">
        <v>0.08</v>
      </c>
      <c r="D11" s="6"/>
      <c r="E11" s="6">
        <v>0.05</v>
      </c>
      <c r="G11">
        <v>0.07</v>
      </c>
      <c r="H11" s="6">
        <v>0.12</v>
      </c>
    </row>
    <row r="12" spans="1:8" ht="12.75">
      <c r="A12" s="12" t="s">
        <v>108</v>
      </c>
      <c r="B12" s="19">
        <f>3.84*40.3/24.3</f>
        <v>6.368395061728394</v>
      </c>
      <c r="C12" s="6">
        <v>6.53</v>
      </c>
      <c r="D12" s="6"/>
      <c r="E12" s="6">
        <v>7.1</v>
      </c>
      <c r="G12">
        <v>4.83</v>
      </c>
      <c r="H12" s="6">
        <v>7.09</v>
      </c>
    </row>
    <row r="13" spans="1:8" ht="12.75">
      <c r="A13" s="12" t="s">
        <v>107</v>
      </c>
      <c r="B13" s="19">
        <f>11.2*56.08/40.08</f>
        <v>15.671057884231535</v>
      </c>
      <c r="C13" s="6">
        <v>16.1</v>
      </c>
      <c r="D13" s="6">
        <v>15.5</v>
      </c>
      <c r="E13" s="6">
        <v>16.2</v>
      </c>
      <c r="G13" s="6">
        <v>16.5</v>
      </c>
      <c r="H13" s="6">
        <v>14.8</v>
      </c>
    </row>
    <row r="14" spans="1:8" ht="15">
      <c r="A14" s="12" t="s">
        <v>57</v>
      </c>
      <c r="B14" s="19">
        <f>0.253*61.98/2/23</f>
        <v>0.34088999999999997</v>
      </c>
      <c r="C14" s="6">
        <v>0.282</v>
      </c>
      <c r="D14" s="6">
        <v>0.345</v>
      </c>
      <c r="E14" s="6">
        <v>0.35</v>
      </c>
      <c r="F14" s="6">
        <v>0.47</v>
      </c>
      <c r="G14" s="6">
        <v>0.41</v>
      </c>
      <c r="H14" s="6">
        <v>0.37</v>
      </c>
    </row>
    <row r="15" spans="1:8" ht="15">
      <c r="A15" s="12" t="s">
        <v>58</v>
      </c>
      <c r="B15" s="19">
        <f>0.045*94.2/2/39.1</f>
        <v>0.05420716112531969</v>
      </c>
      <c r="C15" s="6">
        <v>0.07</v>
      </c>
      <c r="D15" s="6">
        <v>0.09</v>
      </c>
      <c r="E15" s="6">
        <v>0.039</v>
      </c>
      <c r="G15" s="6">
        <v>0.04</v>
      </c>
      <c r="H15" s="6">
        <v>0.04</v>
      </c>
    </row>
    <row r="16" spans="1:8" ht="15">
      <c r="A16" s="12" t="s">
        <v>59</v>
      </c>
      <c r="B16" s="6"/>
      <c r="C16" s="6">
        <v>0.08</v>
      </c>
      <c r="D16" s="6"/>
      <c r="E16" s="6">
        <v>0.06</v>
      </c>
      <c r="G16" s="6">
        <v>0.07</v>
      </c>
      <c r="H16" s="6">
        <v>0.07</v>
      </c>
    </row>
    <row r="17" spans="1:5" ht="12.75">
      <c r="A17" s="12" t="s">
        <v>181</v>
      </c>
      <c r="B17" s="6"/>
      <c r="C17" s="6"/>
      <c r="D17" s="6"/>
      <c r="E17" s="6"/>
    </row>
    <row r="18" spans="1:5" ht="12.75">
      <c r="A18" s="12" t="s">
        <v>109</v>
      </c>
      <c r="B18" s="6"/>
      <c r="C18" s="6"/>
      <c r="D18" s="6"/>
      <c r="E18" s="6"/>
    </row>
    <row r="19" spans="1:5" ht="12.75">
      <c r="A19" s="12"/>
      <c r="B19" s="6"/>
      <c r="C19" s="6"/>
      <c r="D19" s="6"/>
      <c r="E19" s="6"/>
    </row>
    <row r="20" spans="1:8" ht="12.75">
      <c r="A20" s="12" t="s">
        <v>163</v>
      </c>
      <c r="B20" s="6">
        <v>9.8</v>
      </c>
      <c r="C20" s="6">
        <v>10.2</v>
      </c>
      <c r="D20" s="6">
        <v>9.82</v>
      </c>
      <c r="E20" s="6"/>
      <c r="F20" s="6">
        <v>10.3</v>
      </c>
      <c r="G20" s="6">
        <v>9.97</v>
      </c>
      <c r="H20" s="6">
        <v>9.3</v>
      </c>
    </row>
    <row r="21" spans="1:5" ht="12.75">
      <c r="A21" s="12" t="s">
        <v>110</v>
      </c>
      <c r="B21" s="6">
        <v>23</v>
      </c>
      <c r="C21" s="6"/>
      <c r="D21" s="6"/>
      <c r="E21" s="6"/>
    </row>
    <row r="22" spans="1:8" ht="12.75">
      <c r="A22" s="12" t="s">
        <v>111</v>
      </c>
      <c r="B22" s="6">
        <v>810</v>
      </c>
      <c r="C22" s="6">
        <v>674</v>
      </c>
      <c r="D22" s="6">
        <v>766</v>
      </c>
      <c r="E22" s="21">
        <f>1100/152*2*52</f>
        <v>752.6315789473683</v>
      </c>
      <c r="F22" s="6">
        <v>632</v>
      </c>
      <c r="G22" s="6">
        <v>651</v>
      </c>
      <c r="H22" s="6">
        <v>591</v>
      </c>
    </row>
    <row r="23" spans="1:8" ht="12.75">
      <c r="A23" s="12" t="s">
        <v>112</v>
      </c>
      <c r="B23" s="6">
        <v>15.3</v>
      </c>
      <c r="C23" s="6">
        <v>16.5</v>
      </c>
      <c r="D23" s="6">
        <v>15.39</v>
      </c>
      <c r="E23" s="6"/>
      <c r="F23" s="6">
        <v>22</v>
      </c>
      <c r="G23" s="6">
        <v>13.6</v>
      </c>
      <c r="H23" s="6">
        <v>18.1</v>
      </c>
    </row>
    <row r="24" spans="1:8" ht="12.75">
      <c r="A24" s="12" t="s">
        <v>113</v>
      </c>
      <c r="B24" s="6">
        <v>113</v>
      </c>
      <c r="C24" s="6">
        <v>200</v>
      </c>
      <c r="D24" s="6">
        <v>127</v>
      </c>
      <c r="E24" s="6"/>
      <c r="F24" s="6">
        <v>130</v>
      </c>
      <c r="G24" s="6">
        <v>260</v>
      </c>
      <c r="H24" s="6">
        <v>200</v>
      </c>
    </row>
    <row r="25" spans="1:5" ht="12.75">
      <c r="A25" s="12" t="s">
        <v>114</v>
      </c>
      <c r="B25" s="6"/>
      <c r="C25" s="6"/>
      <c r="D25" s="6"/>
      <c r="E25" s="6"/>
    </row>
    <row r="26" spans="1:5" ht="12.75">
      <c r="A26" s="12" t="s">
        <v>115</v>
      </c>
      <c r="B26" s="6"/>
      <c r="C26" s="6"/>
      <c r="D26" s="6"/>
      <c r="E26" s="6"/>
    </row>
    <row r="27" spans="1:5" ht="12.75">
      <c r="A27" s="12" t="s">
        <v>116</v>
      </c>
      <c r="B27" s="6">
        <v>3.1</v>
      </c>
      <c r="C27" s="6">
        <v>3.1</v>
      </c>
      <c r="D27" s="6"/>
      <c r="E27" s="6"/>
    </row>
    <row r="28" spans="1:5" ht="12.75">
      <c r="A28" s="12" t="s">
        <v>117</v>
      </c>
      <c r="B28" s="6"/>
      <c r="C28" s="6"/>
      <c r="D28" s="6"/>
      <c r="E28" s="6"/>
    </row>
    <row r="29" spans="1:5" ht="12.75">
      <c r="A29" s="12" t="s">
        <v>118</v>
      </c>
      <c r="B29" s="6">
        <v>0.17</v>
      </c>
      <c r="C29" s="6"/>
      <c r="D29" s="6">
        <v>0.19</v>
      </c>
      <c r="E29" s="6"/>
    </row>
    <row r="30" spans="1:5" ht="12.75">
      <c r="A30" s="12" t="s">
        <v>119</v>
      </c>
      <c r="B30" s="6"/>
      <c r="C30" s="6"/>
      <c r="D30" s="6"/>
      <c r="E30" s="6"/>
    </row>
    <row r="31" spans="1:5" ht="12.75">
      <c r="A31" s="12" t="s">
        <v>120</v>
      </c>
      <c r="B31" s="6"/>
      <c r="C31" s="6"/>
      <c r="D31" s="6" t="s">
        <v>3</v>
      </c>
      <c r="E31" s="6"/>
    </row>
    <row r="32" spans="1:8" ht="12.75">
      <c r="A32" s="12" t="s">
        <v>121</v>
      </c>
      <c r="B32" s="6">
        <v>1410</v>
      </c>
      <c r="C32" s="6">
        <v>2010</v>
      </c>
      <c r="D32" s="6">
        <v>2090</v>
      </c>
      <c r="E32" s="6"/>
      <c r="F32" s="6">
        <v>5680</v>
      </c>
      <c r="G32" s="6">
        <v>1710</v>
      </c>
      <c r="H32" s="6">
        <v>3120</v>
      </c>
    </row>
    <row r="33" spans="1:5" ht="12.75">
      <c r="A33" s="12" t="s">
        <v>122</v>
      </c>
      <c r="B33" s="6"/>
      <c r="C33" s="6"/>
      <c r="D33" s="6"/>
      <c r="E33" s="6"/>
    </row>
    <row r="34" spans="1:8" ht="12.75">
      <c r="A34" s="12" t="s">
        <v>123</v>
      </c>
      <c r="B34" s="6">
        <v>42</v>
      </c>
      <c r="C34" s="6">
        <v>62</v>
      </c>
      <c r="D34" s="6">
        <v>52</v>
      </c>
      <c r="E34" s="6"/>
      <c r="F34" s="6">
        <v>115</v>
      </c>
      <c r="G34" s="6">
        <v>27</v>
      </c>
      <c r="H34" s="6">
        <v>65</v>
      </c>
    </row>
    <row r="35" spans="1:5" ht="12.75">
      <c r="A35" s="12" t="s">
        <v>124</v>
      </c>
      <c r="B35" s="6"/>
      <c r="C35" s="6"/>
      <c r="D35" s="6"/>
      <c r="E35" s="6"/>
    </row>
    <row r="36" spans="1:5" ht="12.75">
      <c r="A36" s="12" t="s">
        <v>125</v>
      </c>
      <c r="B36" s="6"/>
      <c r="C36" s="6"/>
      <c r="D36" s="6"/>
      <c r="E36" s="6"/>
    </row>
    <row r="37" spans="1:5" ht="12.75">
      <c r="A37" s="12" t="s">
        <v>167</v>
      </c>
      <c r="B37" s="6"/>
      <c r="C37" s="6"/>
      <c r="D37" s="6"/>
      <c r="E37" s="6"/>
    </row>
    <row r="38" spans="1:5" ht="12.75">
      <c r="A38" s="12" t="s">
        <v>168</v>
      </c>
      <c r="B38" s="6"/>
      <c r="C38" s="6"/>
      <c r="D38" s="6"/>
      <c r="E38" s="6"/>
    </row>
    <row r="39" spans="1:5" ht="12.75">
      <c r="A39" s="12" t="s">
        <v>126</v>
      </c>
      <c r="B39" s="6"/>
      <c r="C39" s="6"/>
      <c r="D39" s="6"/>
      <c r="E39" s="6"/>
    </row>
    <row r="40" spans="1:5" ht="12.75">
      <c r="A40" s="12" t="s">
        <v>127</v>
      </c>
      <c r="B40" s="6"/>
      <c r="C40" s="6"/>
      <c r="D40" s="6"/>
      <c r="E40" s="6"/>
    </row>
    <row r="41" spans="1:5" ht="12.75">
      <c r="A41" s="12" t="s">
        <v>128</v>
      </c>
      <c r="B41" s="6"/>
      <c r="C41" s="6"/>
      <c r="D41" s="6"/>
      <c r="E41" s="6"/>
    </row>
    <row r="42" spans="1:5" ht="12.75">
      <c r="A42" s="12" t="s">
        <v>129</v>
      </c>
      <c r="B42" s="6"/>
      <c r="C42" s="6"/>
      <c r="D42" s="6"/>
      <c r="E42" s="6"/>
    </row>
    <row r="43" spans="1:5" ht="12.75">
      <c r="A43" s="12" t="s">
        <v>164</v>
      </c>
      <c r="B43" s="6"/>
      <c r="C43" s="6"/>
      <c r="D43" s="6"/>
      <c r="E43" s="6"/>
    </row>
    <row r="44" spans="1:5" ht="12.75">
      <c r="A44" s="12" t="s">
        <v>130</v>
      </c>
      <c r="B44" s="6">
        <v>22</v>
      </c>
      <c r="C44" s="6"/>
      <c r="D44" s="6">
        <v>35</v>
      </c>
      <c r="E44" s="6"/>
    </row>
    <row r="45" spans="1:5" ht="12.75">
      <c r="A45" s="12" t="s">
        <v>131</v>
      </c>
      <c r="B45" s="6"/>
      <c r="C45" s="6"/>
      <c r="D45" s="6"/>
      <c r="E45" s="6"/>
    </row>
    <row r="46" spans="1:5" ht="12.75">
      <c r="A46" s="12" t="s">
        <v>132</v>
      </c>
      <c r="B46" s="6" t="s">
        <v>100</v>
      </c>
      <c r="C46" s="6">
        <v>0.55</v>
      </c>
      <c r="D46" s="6" t="s">
        <v>228</v>
      </c>
      <c r="E46" s="6"/>
    </row>
    <row r="47" spans="1:8" ht="12.75">
      <c r="A47" s="12" t="s">
        <v>133</v>
      </c>
      <c r="B47" s="6">
        <v>110</v>
      </c>
      <c r="C47" s="6">
        <v>130</v>
      </c>
      <c r="D47" s="6">
        <v>110</v>
      </c>
      <c r="E47" s="6"/>
      <c r="F47" s="6">
        <v>1140</v>
      </c>
      <c r="G47" s="6">
        <v>375</v>
      </c>
      <c r="H47" s="6">
        <v>2302</v>
      </c>
    </row>
    <row r="48" spans="1:8" ht="12.75">
      <c r="A48" s="12" t="s">
        <v>134</v>
      </c>
      <c r="B48" s="6">
        <v>3</v>
      </c>
      <c r="C48" s="6">
        <v>3.6</v>
      </c>
      <c r="D48" s="6">
        <v>3.27</v>
      </c>
      <c r="E48" s="6"/>
      <c r="F48" s="6">
        <v>4</v>
      </c>
      <c r="G48" s="6">
        <v>3.68</v>
      </c>
      <c r="H48" s="6">
        <v>4.1</v>
      </c>
    </row>
    <row r="49" spans="1:8" ht="12.75">
      <c r="A49" s="12" t="s">
        <v>135</v>
      </c>
      <c r="B49" s="6">
        <v>7.4</v>
      </c>
      <c r="C49" s="6">
        <v>8.6</v>
      </c>
      <c r="D49" s="6">
        <v>8.71</v>
      </c>
      <c r="E49" s="6"/>
      <c r="F49" s="6">
        <v>9.7</v>
      </c>
      <c r="G49" s="6">
        <v>8.4</v>
      </c>
      <c r="H49" s="6">
        <v>9</v>
      </c>
    </row>
    <row r="50" spans="1:5" ht="12.75">
      <c r="A50" s="12" t="s">
        <v>136</v>
      </c>
      <c r="B50" s="6"/>
      <c r="C50" s="6"/>
      <c r="D50" s="6"/>
      <c r="E50" s="6"/>
    </row>
    <row r="51" spans="1:8" ht="12.75">
      <c r="A51" s="12" t="s">
        <v>137</v>
      </c>
      <c r="B51" s="6">
        <v>4.7</v>
      </c>
      <c r="C51" s="6">
        <v>5.2</v>
      </c>
      <c r="D51" s="6">
        <v>5.1</v>
      </c>
      <c r="E51" s="6"/>
      <c r="F51" s="6">
        <v>6</v>
      </c>
      <c r="G51" s="6">
        <v>4.6</v>
      </c>
      <c r="H51" s="6">
        <v>4.7</v>
      </c>
    </row>
    <row r="52" spans="1:8" ht="12.75">
      <c r="A52" s="12" t="s">
        <v>138</v>
      </c>
      <c r="B52" s="6">
        <v>1.35</v>
      </c>
      <c r="C52" s="6">
        <v>1.5</v>
      </c>
      <c r="D52" s="6">
        <v>1.646</v>
      </c>
      <c r="E52" s="6"/>
      <c r="F52" s="6">
        <v>1.8</v>
      </c>
      <c r="G52" s="6">
        <v>1.28</v>
      </c>
      <c r="H52" s="6">
        <v>1.3</v>
      </c>
    </row>
    <row r="53" spans="1:8" ht="12.75">
      <c r="A53" s="12" t="s">
        <v>139</v>
      </c>
      <c r="B53" s="6">
        <v>0.74</v>
      </c>
      <c r="C53" s="6">
        <v>1.3</v>
      </c>
      <c r="D53" s="6">
        <v>0.819</v>
      </c>
      <c r="E53" s="6"/>
      <c r="F53" s="6">
        <v>1</v>
      </c>
      <c r="G53" s="6">
        <v>0.74</v>
      </c>
      <c r="H53" s="6">
        <v>0.74</v>
      </c>
    </row>
    <row r="54" spans="1:5" ht="12.75">
      <c r="A54" s="12" t="s">
        <v>140</v>
      </c>
      <c r="B54" s="6"/>
      <c r="C54" s="6"/>
      <c r="D54" s="6"/>
      <c r="E54" s="6"/>
    </row>
    <row r="55" spans="1:8" ht="12.75">
      <c r="A55" s="12" t="s">
        <v>141</v>
      </c>
      <c r="B55" s="6">
        <v>0.27</v>
      </c>
      <c r="C55" s="6">
        <v>0.35</v>
      </c>
      <c r="D55" s="6">
        <v>0.337</v>
      </c>
      <c r="E55" s="6"/>
      <c r="F55" s="6">
        <v>0.39</v>
      </c>
      <c r="G55" s="6">
        <v>0.24</v>
      </c>
      <c r="H55" s="6">
        <v>0.3</v>
      </c>
    </row>
    <row r="56" spans="1:5" ht="12.75">
      <c r="A56" s="12" t="s">
        <v>142</v>
      </c>
      <c r="B56" s="6">
        <v>1.6</v>
      </c>
      <c r="C56" s="6"/>
      <c r="D56" s="6"/>
      <c r="E56" s="6"/>
    </row>
    <row r="57" spans="1:5" ht="12.75">
      <c r="A57" s="12" t="s">
        <v>143</v>
      </c>
      <c r="B57" s="6">
        <v>0.38</v>
      </c>
      <c r="C57" s="6">
        <v>0.44</v>
      </c>
      <c r="D57" s="6"/>
      <c r="E57" s="6"/>
    </row>
    <row r="58" spans="1:5" ht="12.75">
      <c r="A58" s="12" t="s">
        <v>144</v>
      </c>
      <c r="B58" s="6"/>
      <c r="C58" s="6"/>
      <c r="D58" s="6"/>
      <c r="E58" s="6"/>
    </row>
    <row r="59" spans="1:5" ht="12.75">
      <c r="A59" s="12" t="s">
        <v>145</v>
      </c>
      <c r="B59" s="6"/>
      <c r="C59" s="6"/>
      <c r="D59" s="6"/>
      <c r="E59" s="6"/>
    </row>
    <row r="60" spans="1:8" ht="12.75">
      <c r="A60" s="12" t="s">
        <v>146</v>
      </c>
      <c r="B60" s="6">
        <v>1.07</v>
      </c>
      <c r="C60" s="6">
        <v>1.2</v>
      </c>
      <c r="D60" s="6">
        <v>1.28</v>
      </c>
      <c r="E60" s="6"/>
      <c r="F60" s="6">
        <v>1.2</v>
      </c>
      <c r="G60" s="6">
        <v>0.63</v>
      </c>
      <c r="H60" s="6">
        <v>1.1</v>
      </c>
    </row>
    <row r="61" spans="1:8" ht="12.75">
      <c r="A61" s="12" t="s">
        <v>147</v>
      </c>
      <c r="B61" s="6">
        <v>0.16</v>
      </c>
      <c r="C61" s="6">
        <v>0.21</v>
      </c>
      <c r="D61" s="6">
        <v>0.179</v>
      </c>
      <c r="E61" s="6"/>
      <c r="F61" s="6">
        <v>0.18</v>
      </c>
      <c r="G61" s="6">
        <v>0.099</v>
      </c>
      <c r="H61" s="6">
        <v>0.18</v>
      </c>
    </row>
    <row r="62" spans="1:8" ht="12.75">
      <c r="A62" s="12" t="s">
        <v>148</v>
      </c>
      <c r="B62" s="6">
        <v>0.98</v>
      </c>
      <c r="C62" s="6">
        <v>1.3</v>
      </c>
      <c r="D62" s="6">
        <v>1.26</v>
      </c>
      <c r="E62" s="6"/>
      <c r="F62" s="6">
        <v>1.4</v>
      </c>
      <c r="G62" s="6">
        <v>0.79</v>
      </c>
      <c r="H62" s="6">
        <v>0.79</v>
      </c>
    </row>
    <row r="63" spans="1:6" ht="12.75">
      <c r="A63" s="12" t="s">
        <v>149</v>
      </c>
      <c r="B63" s="6">
        <v>0.13</v>
      </c>
      <c r="C63" s="6" t="s">
        <v>102</v>
      </c>
      <c r="D63" s="6">
        <v>0.134</v>
      </c>
      <c r="E63" s="6"/>
      <c r="F63" s="6">
        <v>0.44</v>
      </c>
    </row>
    <row r="64" spans="1:5" ht="12.75">
      <c r="A64" s="12" t="s">
        <v>150</v>
      </c>
      <c r="B64" s="6"/>
      <c r="C64" s="6"/>
      <c r="D64" s="6" t="s">
        <v>4</v>
      </c>
      <c r="E64" s="6"/>
    </row>
    <row r="65" spans="1:5" ht="12.75">
      <c r="A65" s="12" t="s">
        <v>151</v>
      </c>
      <c r="B65" s="6"/>
      <c r="C65" s="6" t="s">
        <v>222</v>
      </c>
      <c r="D65" s="6"/>
      <c r="E65" s="6"/>
    </row>
    <row r="66" spans="1:5" ht="12.75">
      <c r="A66" s="12" t="s">
        <v>152</v>
      </c>
      <c r="B66" s="6"/>
      <c r="C66" s="6" t="s">
        <v>2</v>
      </c>
      <c r="D66" s="6"/>
      <c r="E66" s="6"/>
    </row>
    <row r="67" spans="1:8" ht="12.75">
      <c r="A67" s="12" t="s">
        <v>153</v>
      </c>
      <c r="B67" s="6">
        <v>4.5</v>
      </c>
      <c r="C67" s="6">
        <v>7.2</v>
      </c>
      <c r="D67" s="6">
        <v>3.7</v>
      </c>
      <c r="E67" s="6"/>
      <c r="F67" s="6">
        <v>26</v>
      </c>
      <c r="G67" s="6">
        <v>5.6</v>
      </c>
      <c r="H67" s="6">
        <v>20</v>
      </c>
    </row>
    <row r="68" spans="1:5" ht="12.75">
      <c r="A68" s="12" t="s">
        <v>166</v>
      </c>
      <c r="B68" s="6"/>
      <c r="C68" s="6"/>
      <c r="D68" s="6"/>
      <c r="E68" s="6"/>
    </row>
    <row r="69" spans="1:8" ht="12.75">
      <c r="A69" s="12" t="s">
        <v>154</v>
      </c>
      <c r="B69" s="6">
        <v>4.9</v>
      </c>
      <c r="C69" s="6">
        <v>3</v>
      </c>
      <c r="D69" s="6">
        <v>7.4</v>
      </c>
      <c r="E69" s="6"/>
      <c r="F69" s="6">
        <v>9</v>
      </c>
      <c r="G69" s="6">
        <v>4</v>
      </c>
      <c r="H69" s="6">
        <v>13</v>
      </c>
    </row>
    <row r="70" spans="1:8" ht="12.75">
      <c r="A70" s="12" t="s">
        <v>155</v>
      </c>
      <c r="B70" s="6">
        <v>0.46</v>
      </c>
      <c r="C70" s="6">
        <v>0.8</v>
      </c>
      <c r="D70" s="6">
        <v>0.525</v>
      </c>
      <c r="E70" s="6"/>
      <c r="F70" s="6">
        <v>1.7</v>
      </c>
      <c r="G70" s="6">
        <v>0.66</v>
      </c>
      <c r="H70" s="6">
        <v>0.5</v>
      </c>
    </row>
    <row r="71" spans="1:6" ht="12.75">
      <c r="A71" s="12" t="s">
        <v>156</v>
      </c>
      <c r="B71" s="6">
        <v>0.19</v>
      </c>
      <c r="C71" s="6">
        <v>0.27</v>
      </c>
      <c r="D71" s="6">
        <v>0.2</v>
      </c>
      <c r="E71" s="6"/>
      <c r="F71" s="6">
        <v>1</v>
      </c>
    </row>
    <row r="73" s="29" customFormat="1" ht="12.75">
      <c r="A73" s="28" t="s">
        <v>81</v>
      </c>
    </row>
    <row r="75" ht="13.5">
      <c r="A75" s="18" t="s">
        <v>99</v>
      </c>
    </row>
    <row r="76" ht="13.5">
      <c r="A76" s="8" t="s">
        <v>174</v>
      </c>
    </row>
    <row r="77" ht="13.5">
      <c r="A77" s="8" t="s">
        <v>169</v>
      </c>
    </row>
    <row r="78" ht="13.5">
      <c r="A78" s="8" t="s">
        <v>170</v>
      </c>
    </row>
    <row r="79" ht="13.5">
      <c r="A79" s="8" t="s">
        <v>171</v>
      </c>
    </row>
    <row r="80" ht="13.5">
      <c r="A80" s="8"/>
    </row>
    <row r="81" ht="13.5">
      <c r="A81" s="8" t="s">
        <v>176</v>
      </c>
    </row>
    <row r="82" ht="13.5">
      <c r="A82" s="8" t="s">
        <v>172</v>
      </c>
    </row>
    <row r="83" spans="1:2" ht="13.5">
      <c r="A83" s="8" t="s">
        <v>175</v>
      </c>
      <c r="B83">
        <v>1.11</v>
      </c>
    </row>
    <row r="84" ht="13.5">
      <c r="A84" s="8" t="s">
        <v>173</v>
      </c>
    </row>
    <row r="85" ht="13.5">
      <c r="A85" s="8"/>
    </row>
    <row r="86" ht="13.5">
      <c r="A86" s="8" t="s">
        <v>179</v>
      </c>
    </row>
    <row r="87" ht="13.5">
      <c r="A87" s="8" t="s">
        <v>180</v>
      </c>
    </row>
    <row r="88" ht="13.5">
      <c r="A88" s="8" t="s">
        <v>178</v>
      </c>
    </row>
    <row r="89" ht="13.5">
      <c r="A89" s="8" t="s">
        <v>177</v>
      </c>
    </row>
    <row r="91" ht="13.5">
      <c r="A91" s="8" t="s">
        <v>288</v>
      </c>
    </row>
    <row r="93" ht="12.75">
      <c r="A93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Meyer</dc:creator>
  <cp:keywords/>
  <dc:description/>
  <cp:lastModifiedBy>Kevin Righter</cp:lastModifiedBy>
  <cp:lastPrinted>2007-04-25T19:10:59Z</cp:lastPrinted>
  <dcterms:created xsi:type="dcterms:W3CDTF">2001-08-20T21:00:39Z</dcterms:created>
  <dcterms:modified xsi:type="dcterms:W3CDTF">2010-01-19T21:54:55Z</dcterms:modified>
  <cp:category/>
  <cp:version/>
  <cp:contentType/>
  <cp:contentStatus/>
</cp:coreProperties>
</file>